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5311" windowWidth="17205" windowHeight="11625" activeTab="1"/>
  </bookViews>
  <sheets>
    <sheet name="Frais de Douane Colis" sheetId="1" r:id="rId1"/>
    <sheet name="AYIS-Reservation-Colis" sheetId="2" r:id="rId2"/>
    <sheet name="AYIS-Cotation-Colis" sheetId="3" r:id="rId3"/>
    <sheet name="F-AYIS" sheetId="4" state="hidden" r:id="rId4"/>
    <sheet name="Liste détaillée colis" sheetId="5" r:id="rId5"/>
  </sheets>
  <definedNames>
    <definedName name="AYISTD1">'Frais de Douane Colis'!$G$16</definedName>
    <definedName name="AYISTD10">'Frais de Douane Colis'!$G$33</definedName>
    <definedName name="AYISTD11">'Frais de Douane Colis'!$G$34</definedName>
    <definedName name="AYISTD12">'Frais de Douane Colis'!$G$35</definedName>
    <definedName name="AYISTD2">'Frais de Douane Colis'!$G$17</definedName>
    <definedName name="AYISTD3">'Frais de Douane Colis'!$G$18</definedName>
    <definedName name="AYISTD4">'Frais de Douane Colis'!$G$19</definedName>
    <definedName name="AYISTD5">'Frais de Douane Colis'!$G$24</definedName>
    <definedName name="AYISTD6">'Frais de Douane Colis'!$G$25</definedName>
    <definedName name="AYISTD7">'Frais de Douane Colis'!$G$26</definedName>
    <definedName name="AYISTD8">'Frais de Douane Colis'!$G$27</definedName>
    <definedName name="AYISTD9">'Frais de Douane Colis'!$G$32</definedName>
    <definedName name="Douane1">'Frais de Douane Colis'!$E$16</definedName>
    <definedName name="Douane2">'Frais de Douane Colis'!$E$17</definedName>
    <definedName name="Douane3">'Frais de Douane Colis'!$E$18</definedName>
    <definedName name="Douane4">'Frais de Douane Colis'!$E$19</definedName>
    <definedName name="Douane5">'Frais de Douane Colis'!$E$24</definedName>
    <definedName name="Douane6">'Frais de Douane Colis'!$E$25</definedName>
    <definedName name="Douane7">'Frais de Douane Colis'!$E$26</definedName>
    <definedName name="Douane8">'Frais de Douane Colis'!$E$27</definedName>
    <definedName name="Effets">'AYIS-Cotation-Colis'!$P$36:$P$38</definedName>
    <definedName name="_xlnm.Print_Titles" localSheetId="1">'AYIS-Reservation-Colis'!$B:$M,'AYIS-Reservation-Colis'!$1:$4</definedName>
    <definedName name="T_1">'AYIS-Cotation-Colis'!$B$2</definedName>
    <definedName name="T_2">'AYIS-Cotation-Colis'!$B$3</definedName>
    <definedName name="Taux22">'Frais de Douane Colis'!$J$13</definedName>
    <definedName name="Taux44">'Frais de Douane Colis'!$I$13</definedName>
    <definedName name="TauxDollars">'Frais de Douane Colis'!$J$10</definedName>
    <definedName name="TAUXFCFA">'Frais de Douane Colis'!$J$11</definedName>
    <definedName name="_xlnm.Print_Area" localSheetId="0">'Frais de Douane Colis'!$A$1:$J$36</definedName>
  </definedNames>
  <calcPr fullCalcOnLoad="1"/>
</workbook>
</file>

<file path=xl/comments2.xml><?xml version="1.0" encoding="utf-8"?>
<comments xmlns="http://schemas.openxmlformats.org/spreadsheetml/2006/main">
  <authors>
    <author>Samassi Issiaka</author>
  </authors>
  <commentList>
    <comment ref="G19" authorId="0">
      <text>
        <r>
          <rPr>
            <b/>
            <sz val="8"/>
            <rFont val="Tahoma"/>
            <family val="2"/>
          </rPr>
          <t>Samassi Issiaka: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Samassi Issiaka</author>
  </authors>
  <commentList>
    <comment ref="P5" authorId="0">
      <text>
        <r>
          <rPr>
            <b/>
            <sz val="8"/>
            <rFont val="Tahoma"/>
            <family val="2"/>
          </rPr>
          <t>Samassi Issiaka:</t>
        </r>
        <r>
          <rPr>
            <sz val="8"/>
            <rFont val="Tahoma"/>
            <family val="2"/>
          </rPr>
          <t xml:space="preserve">
Plus grand entre le poids du volume ou le poids mésuré</t>
        </r>
      </text>
    </comment>
  </commentList>
</comments>
</file>

<file path=xl/sharedStrings.xml><?xml version="1.0" encoding="utf-8"?>
<sst xmlns="http://schemas.openxmlformats.org/spreadsheetml/2006/main" count="244" uniqueCount="217">
  <si>
    <t>LONGUEUR</t>
  </si>
  <si>
    <t>LARGEUR</t>
  </si>
  <si>
    <t>HAUTEUR</t>
  </si>
  <si>
    <t xml:space="preserve">     </t>
  </si>
  <si>
    <t>KG</t>
  </si>
  <si>
    <t>T_1</t>
  </si>
  <si>
    <t>T_2</t>
  </si>
  <si>
    <t>T_3</t>
  </si>
  <si>
    <t>Note 1:</t>
  </si>
  <si>
    <t>Note 2:</t>
  </si>
  <si>
    <t>Note 3:</t>
  </si>
  <si>
    <t>Note 4:</t>
  </si>
  <si>
    <t>Note 5:</t>
  </si>
  <si>
    <t>http://www.transit.ayis.ca</t>
  </si>
  <si>
    <t>VOLUME</t>
  </si>
  <si>
    <t>Description</t>
  </si>
  <si>
    <t>cm</t>
  </si>
  <si>
    <t>=</t>
  </si>
  <si>
    <t>1 M3</t>
  </si>
  <si>
    <t>Fret Maritime AYIS transit 2$/Kg (Note 2)</t>
  </si>
  <si>
    <t>POIDS VOLUME ÉQUIVALENT  : 1M3 = (200 Kg) versus Poids  mésuré</t>
  </si>
  <si>
    <t>Note 3</t>
  </si>
  <si>
    <t>(Note 1)</t>
  </si>
  <si>
    <t xml:space="preserve">Fret Maritime </t>
  </si>
  <si>
    <t>TRANSIT - AYIS : Frais de douane pour les colis</t>
  </si>
  <si>
    <t>Poid Min Kg</t>
  </si>
  <si>
    <t>Poid Max Kg</t>
  </si>
  <si>
    <t>Ecart</t>
  </si>
  <si>
    <t xml:space="preserve">Taux de douane </t>
  </si>
  <si>
    <t>Pour Colis et effets personnels</t>
  </si>
  <si>
    <t>AYISTD1</t>
  </si>
  <si>
    <t xml:space="preserve"> AYISTD2</t>
  </si>
  <si>
    <t xml:space="preserve"> AYISTD3</t>
  </si>
  <si>
    <t xml:space="preserve"> AYISTD4</t>
  </si>
  <si>
    <t xml:space="preserve"> AYISTD5</t>
  </si>
  <si>
    <t xml:space="preserve"> AYISTD6</t>
  </si>
  <si>
    <t xml:space="preserve"> AYISTD7</t>
  </si>
  <si>
    <t xml:space="preserve"> AYISTD8</t>
  </si>
  <si>
    <t>Taux</t>
  </si>
  <si>
    <t xml:space="preserve">Variable </t>
  </si>
  <si>
    <t>Les colis sont recupérés à nos bureaux. À la demande du client, nous faisons la livraison à domicile</t>
  </si>
  <si>
    <t xml:space="preserve"> AYISTD9</t>
  </si>
  <si>
    <t xml:space="preserve"> AYISTD10</t>
  </si>
  <si>
    <t xml:space="preserve"> AYISTD11</t>
  </si>
  <si>
    <t xml:space="preserve"> AYISTD12</t>
  </si>
  <si>
    <t>Usagé</t>
  </si>
  <si>
    <t>Mixte</t>
  </si>
  <si>
    <t>Nouveau</t>
  </si>
  <si>
    <t>SI(P39&lt;=59;AYISTD1;SI(P39&lt;=199;AYISTD2;SI(P39&lt;=599;AYISTD3;SI(P39&gt;=600;AYISTD4;AYISTD4))))</t>
  </si>
  <si>
    <t>SI(P39&lt;=59;AYISTD5;SI(P39&lt;=199;AYISTD6;SI(P39&lt;=599;AYISTD7;SI(P39&gt;=600;AYISTD8;AYISTD8))))</t>
  </si>
  <si>
    <t>SI(P39&lt;=59;AYISTD9;SI(P39&lt;=199;AYISTD10;SI(P39&lt;=599;AYISTD11;SI(P39&gt;=600;AYISTD12;AYISTD12))))</t>
  </si>
  <si>
    <t>SI(P39&lt;='Frais de Douane Colis'!D9;AYISTD1;SI(P39&lt;='Frais de Douane Colis'!D10;AYISTD2;SI(P39&lt;='Frais de Douane Colis'!D11;AYISTD3;SI(P39&gt;='Frais de Douane Colis'!C12;AYISTD4;AYISTD4))))</t>
  </si>
  <si>
    <t>SI(P39&lt;='Frais de Douane Colis'!D16;AYISTD5;SI(P39&lt;='Frais de Douane Colis'!D17;AYISTD6;SI(P39&lt;='Frais de Douane Colis'!D18;AYISTD7;SI(P39&gt;='Frais de Douane Colis'!C19;AYISTD8;AYISTD8))))</t>
  </si>
  <si>
    <t>SI(P39&lt;='Frais de Douane Colis'!D23;AYISTD9;SI(P39&lt;='Frais de Douane Colis'!D24;AYISTD10;SI(P39&lt;='Frais de Douane Colis'!D25;AYISTD11;SI(P39&gt;='Frais de Douane Colis'!C26;AYISTD12;AYISTD12))))</t>
  </si>
  <si>
    <t>Le fret correspond au  coût du transport de Montréal à  rendu sous palant au Port d'Abidjan. Payable au départ</t>
  </si>
  <si>
    <t>MNT</t>
  </si>
  <si>
    <t>Effets</t>
  </si>
  <si>
    <t>Frais de douane au Kilo pour effets</t>
  </si>
  <si>
    <t>Coût du chargement/dechargement et transport du colis du port d'Abidjan à nos bureaux. La traverssée du desert</t>
  </si>
  <si>
    <t>ou</t>
  </si>
  <si>
    <t>Grand total fret Maritime, frais de  Port et douane</t>
  </si>
  <si>
    <t xml:space="preserve">www.ayis.ca </t>
  </si>
  <si>
    <t>Dimenssion  en cm si applicable</t>
  </si>
  <si>
    <t>Réservé à l'Administration</t>
  </si>
  <si>
    <t>Qté</t>
  </si>
  <si>
    <t>Valeurs $ can</t>
  </si>
  <si>
    <t>Version</t>
  </si>
  <si>
    <t>Date</t>
  </si>
  <si>
    <t>Num AYIS TC</t>
  </si>
  <si>
    <t>TC-NO</t>
  </si>
  <si>
    <t>Code Client</t>
  </si>
  <si>
    <t>XXX</t>
  </si>
  <si>
    <t>Expédié par :</t>
  </si>
  <si>
    <t>Expéditeur</t>
  </si>
  <si>
    <t>Nom et Prénoms</t>
  </si>
  <si>
    <t>Adresse  No:</t>
  </si>
  <si>
    <t>Destinataire</t>
  </si>
  <si>
    <t>Téléphone 1</t>
  </si>
  <si>
    <t>Téléphone 2</t>
  </si>
  <si>
    <t>e-mail</t>
  </si>
  <si>
    <t>BILL OF LADING No.</t>
  </si>
  <si>
    <t>EXPORT REFERENCE</t>
  </si>
  <si>
    <t>BOOKING REFERENCE</t>
  </si>
  <si>
    <t>SCAC Code:</t>
  </si>
  <si>
    <t>Vessel &amp; Voyage No</t>
  </si>
  <si>
    <t>Chargement</t>
  </si>
  <si>
    <t>ETD</t>
  </si>
  <si>
    <t>ETA</t>
  </si>
  <si>
    <t>Standard: 1M3 = 333Kg</t>
  </si>
  <si>
    <t>Notre offre: 1M3 = 200kg</t>
  </si>
  <si>
    <t>Assurance AYIS Transit</t>
  </si>
  <si>
    <t>Notre méthode de calcul du fret des colis</t>
  </si>
  <si>
    <t>Pour AYIS Transit nous offrons un rapport Martime de 1M3 = 200 Kg</t>
  </si>
  <si>
    <t>Le poid taxable est le maximum entre ( le poid mésuré du colis; poids volume du colis)</t>
  </si>
  <si>
    <t>Poids-Volume</t>
  </si>
  <si>
    <t>Selon la réglementation IATA, on  admet un rapport poids volume suivant:</t>
  </si>
  <si>
    <r>
      <t xml:space="preserve">Rapport Maritime : </t>
    </r>
    <r>
      <rPr>
        <b/>
        <sz val="11"/>
        <color indexed="8"/>
        <rFont val="Tahoma"/>
        <family val="2"/>
      </rPr>
      <t xml:space="preserve">1M3  correspong 333 KG </t>
    </r>
  </si>
  <si>
    <r>
      <t xml:space="preserve">Rapport Aeriene: </t>
    </r>
    <r>
      <rPr>
        <b/>
        <sz val="11"/>
        <color indexed="8"/>
        <rFont val="Tahoma"/>
        <family val="2"/>
      </rPr>
      <t>1M3  correspong 166 KG  </t>
    </r>
  </si>
  <si>
    <r>
      <t xml:space="preserve">Rapport Routier : </t>
    </r>
    <r>
      <rPr>
        <b/>
        <sz val="11"/>
        <color indexed="8"/>
        <rFont val="Tahoma"/>
        <family val="2"/>
      </rPr>
      <t xml:space="preserve">1M3  correspong 250 KG </t>
    </r>
  </si>
  <si>
    <t>Convertisseur ( convertir les dimenssions en volume)</t>
  </si>
  <si>
    <t xml:space="preserve">Convertisseur : Calul du poid taxable à partir des dimenssions (L x l x h) du colis </t>
  </si>
  <si>
    <t>Volume
M3</t>
  </si>
  <si>
    <t>Poids total Mésuré
Kg</t>
  </si>
  <si>
    <t>Poids Unitaire Mésuré
 (Kg)</t>
  </si>
  <si>
    <t xml:space="preserve"> ( Usagé, Nouveau ou Mixte)</t>
  </si>
  <si>
    <t>Cliquez la souris dans la zone bleue</t>
  </si>
  <si>
    <t>Cliquez ensuite sur la flèche</t>
  </si>
  <si>
    <t>Un menu s'affiche avec les choix : Usagé, Nouveau, Mixte</t>
  </si>
  <si>
    <t>Choisissez le type de votre colis</t>
  </si>
  <si>
    <t>Dans la zone bleue, Choisissez le type de colis</t>
  </si>
  <si>
    <t>Transport + frais de port + frais de douane</t>
  </si>
  <si>
    <t>www.facebook.com/ayistransit</t>
  </si>
  <si>
    <t xml:space="preserve">www.transit.ayis.ca </t>
  </si>
  <si>
    <t>Les frais de douane payables au départ ou à destination sont  en fonction de la nature du colis (Neuf, usagés ou mixte)
Voir le tableau de frais de douane sur notre site ou  dans l'onglet Frais de douane Colis ( Pour les marchandises commerciales et les appareils électroniques il faut tenir compte de  44,28% de la valeur de la marchandise  pour les droits et taxe de douane)</t>
  </si>
  <si>
    <t>À cela il faut ajouter les frais de port et la prestation transitaire</t>
  </si>
  <si>
    <t xml:space="preserve">Nous nous occupons ensuite de tout le processus jusqu'à la livraison à nos bureaux </t>
  </si>
  <si>
    <t>Coût de l'assurance</t>
  </si>
  <si>
    <t>Côut de l'assurance</t>
  </si>
  <si>
    <t>Larg 
(cm)</t>
  </si>
  <si>
    <t>Long 
(cm)</t>
  </si>
  <si>
    <t>Hauteur
(Cm)</t>
  </si>
  <si>
    <t>TOTAL ITEM</t>
  </si>
  <si>
    <t>Rabais</t>
  </si>
  <si>
    <t>A</t>
  </si>
  <si>
    <t>B</t>
  </si>
  <si>
    <t>Prestation:  150 F /Kg ----&gt;</t>
  </si>
  <si>
    <t>Montant Maximum assurable</t>
  </si>
  <si>
    <t>[Saisir un montant ici ]--&gt;</t>
  </si>
  <si>
    <t>Assurance AYIS proposée au choix du cleint</t>
  </si>
  <si>
    <t>En cas de dommage ou de perte vous êtes dédomagé jusqu'au maximum assuré</t>
  </si>
  <si>
    <t xml:space="preserve">Frais de ports : Acconage, Relévage, Depotage et Transport  : 150 F/Kg </t>
  </si>
  <si>
    <t>[Min facturable: 25 Kg]</t>
  </si>
  <si>
    <t>au taux de :</t>
  </si>
  <si>
    <t>Si une telle assurance vous intéresse veuillez saisir le montant que vous voulez assurer et choisir OUI à la question posée dans la section Assurance.</t>
  </si>
  <si>
    <t>AYIS Transit vous propose une assurance perte et dommage  sur la valeur du colis ou du montant. Coût de l'assurance</t>
  </si>
  <si>
    <t>Montant  assuré</t>
  </si>
  <si>
    <t>Les droits et taxes de douane en Côte d'Ivoire sont 44,28% de la valeur de la marchandise (ou du colis)</t>
  </si>
  <si>
    <t xml:space="preserve">Tarification de douane par poids  des Effets  Mixtes  (Neufs + Usagés) </t>
  </si>
  <si>
    <t>Taux par Kg F CFA</t>
  </si>
  <si>
    <t>(Taux 1)</t>
  </si>
  <si>
    <t>Taux-2</t>
  </si>
  <si>
    <t>Taux-3</t>
  </si>
  <si>
    <t>(taux 1)Taux</t>
  </si>
  <si>
    <t>Taux normal</t>
  </si>
  <si>
    <t>Taux réduit</t>
  </si>
  <si>
    <t xml:space="preserve">Tarification de droit et taxe de  douane par poids des Effets Usagés </t>
  </si>
  <si>
    <t xml:space="preserve">Tarification de douane par poids par poids des Effets Neufs </t>
  </si>
  <si>
    <t>sur le poids et</t>
  </si>
  <si>
    <t xml:space="preserve"> sur la valeur</t>
  </si>
  <si>
    <t xml:space="preserve">Moyenne de Droits et taxes de doaune  </t>
  </si>
  <si>
    <t>Moyenne</t>
  </si>
  <si>
    <t>Droits et taxes de Douane des colis = Minimum entre:</t>
  </si>
  <si>
    <t>Tableau</t>
  </si>
  <si>
    <t>200 Kg</t>
  </si>
  <si>
    <t>Valeurs</t>
  </si>
  <si>
    <t>Volume</t>
  </si>
  <si>
    <t>Valeurs Totale</t>
  </si>
  <si>
    <t>Poids mésuré</t>
  </si>
  <si>
    <t>Le poids taxable est le plus grand entre le poids mésuré et le poids du volume par converstion des dimenssions. Minimum de 25Kg</t>
  </si>
  <si>
    <t>&lt;--</t>
  </si>
  <si>
    <t>Taux44</t>
  </si>
  <si>
    <t>Taux22</t>
  </si>
  <si>
    <t>À la demande on peut vous le livrer à votre lieu de destination  moyennant charge</t>
  </si>
  <si>
    <t>TAUXFCFA</t>
  </si>
  <si>
    <t>TauxDollars</t>
  </si>
  <si>
    <t>AYISTD2</t>
  </si>
  <si>
    <t>AYISTD3</t>
  </si>
  <si>
    <t>AYISTD4</t>
  </si>
  <si>
    <t>AYISTD5</t>
  </si>
  <si>
    <t>AYISTD6</t>
  </si>
  <si>
    <t>AYISTD7</t>
  </si>
  <si>
    <t>AYISTD8</t>
  </si>
  <si>
    <t>AYISTD9</t>
  </si>
  <si>
    <t>AYISTD10</t>
  </si>
  <si>
    <t>AYISTD11</t>
  </si>
  <si>
    <t>AYISTD12</t>
  </si>
  <si>
    <t>Le coût du fret est égale au poids TAXABLE multiplié par le prix au kg. Notre tarification est de 2.0 $/KG.  </t>
  </si>
  <si>
    <t>Outil de converssion dimenssion en volume (M3)</t>
  </si>
  <si>
    <t>Les lois fédérales et maritimes défendent l'envoi des articles suivants: Explosifs, Drogue, Articles dangereux, articles Inflammables</t>
  </si>
  <si>
    <t>Argent, Liquide, Article de très grandes valeurs qui n'ont pas été corrrectement déclarées, Essences, Propane, Animaux vivants, plantes</t>
  </si>
  <si>
    <t>Matériaux pornographiques…</t>
  </si>
  <si>
    <r>
      <rPr>
        <sz val="10"/>
        <color indexed="10"/>
        <rFont val="Calibri"/>
        <family val="2"/>
      </rPr>
      <t xml:space="preserve">Note 1: </t>
    </r>
    <r>
      <rPr>
        <sz val="10"/>
        <color indexed="8"/>
        <rFont val="Calibri"/>
        <family val="2"/>
      </rPr>
      <t>Tout colis doit être embalé et scéllé par le client dans un contenat rigide à l'epruve de l'eau et des choc (pas de carton)</t>
    </r>
  </si>
  <si>
    <r>
      <t xml:space="preserve">Note 2: </t>
    </r>
    <r>
      <rPr>
        <sz val="10"/>
        <rFont val="Calibri"/>
        <family val="2"/>
      </rPr>
      <t>Tout colis est succeptible d'être ouvert par la douane à Abidjan pour contrôle  et inspection</t>
    </r>
  </si>
  <si>
    <r>
      <rPr>
        <sz val="10"/>
        <color indexed="10"/>
        <rFont val="Calibri"/>
        <family val="2"/>
      </rPr>
      <t>Note 4 :</t>
    </r>
    <r>
      <rPr>
        <sz val="10"/>
        <color indexed="8"/>
        <rFont val="Calibri"/>
        <family val="2"/>
      </rPr>
      <t xml:space="preserve"> Les colis dont le contenu ne correpond pas à ce qui nous est déclaré  peut être suceptible d'être taxé par la douane en cas d'inspection au frais du client</t>
    </r>
  </si>
  <si>
    <r>
      <rPr>
        <sz val="10"/>
        <color indexed="10"/>
        <rFont val="Calibri"/>
        <family val="2"/>
      </rPr>
      <t>Note 6 :</t>
    </r>
    <r>
      <rPr>
        <sz val="10"/>
        <color indexed="8"/>
        <rFont val="Calibri"/>
        <family val="2"/>
      </rPr>
      <t xml:space="preserve"> Tous les  colis dans un véhicule ou pas  sont assujetis aux frais de port et de douane </t>
    </r>
  </si>
  <si>
    <r>
      <rPr>
        <sz val="10"/>
        <color indexed="10"/>
        <rFont val="Calibri"/>
        <family val="2"/>
      </rPr>
      <t>Note 7 :</t>
    </r>
    <r>
      <rPr>
        <sz val="10"/>
        <color indexed="8"/>
        <rFont val="Calibri"/>
        <family val="2"/>
      </rPr>
      <t xml:space="preserve">  Nous offrons une assurance personnalisée  sur la valeur du colis ou d'un montant que vous désirez assurer</t>
    </r>
  </si>
  <si>
    <t>Signature expéditeur</t>
  </si>
  <si>
    <t xml:space="preserve">Date: </t>
  </si>
  <si>
    <t>Nom et Prénom Destinataire</t>
  </si>
  <si>
    <t>POIDS TAXABLE</t>
  </si>
  <si>
    <t xml:space="preserve">Total Fret Maritime (de Mtl au Port d'Abidjan sous palan) </t>
  </si>
  <si>
    <r>
      <rPr>
        <sz val="10"/>
        <color indexed="10"/>
        <rFont val="Calibri"/>
        <family val="2"/>
      </rPr>
      <t>Note 5:</t>
    </r>
    <r>
      <rPr>
        <sz val="10"/>
        <color indexed="8"/>
        <rFont val="Calibri"/>
        <family val="2"/>
      </rPr>
      <t xml:space="preserve"> Les  colis des clients qui sont dans leur véhicule seront exemptés du fret maritime mais pas des frais de douane et de port  à Abidjan</t>
    </r>
  </si>
  <si>
    <t>C</t>
  </si>
  <si>
    <t>Ville, Pays</t>
  </si>
  <si>
    <t>Code Postal</t>
  </si>
  <si>
    <t>Telépnones</t>
  </si>
  <si>
    <t xml:space="preserve">E-mail </t>
  </si>
  <si>
    <t>Réservé à l'administration</t>
  </si>
  <si>
    <t>NN</t>
  </si>
  <si>
    <t>Numéro Dossier</t>
  </si>
  <si>
    <t xml:space="preserve">Poids Mésuré  </t>
  </si>
  <si>
    <t>Poids-volume</t>
  </si>
  <si>
    <t>NB COLIS</t>
  </si>
  <si>
    <t>Regardez dans l'onglet [AYIS-Cotation-Colis], le coût total de votre envois</t>
  </si>
  <si>
    <t>Droits &amp;Taxes de douane sur votre colis de valeur:</t>
  </si>
  <si>
    <t>AYIS Transit  Canada-Côte D'Ivoire :  COTATION POUR COLIS</t>
  </si>
  <si>
    <t>(514) 238-9749 Ext.1</t>
  </si>
  <si>
    <t>ayistransit@gmail.com</t>
  </si>
  <si>
    <t xml:space="preserve">Formulaire AYIS  de cotation des colis </t>
  </si>
  <si>
    <t xml:space="preserve">Liste d'inventaire avec valeur pour colis </t>
  </si>
  <si>
    <t>À remplir et tranmettre à : ayistransit@gmail.com</t>
  </si>
  <si>
    <t>Montant assuré :</t>
  </si>
  <si>
    <t>Num-Client</t>
  </si>
  <si>
    <t xml:space="preserve">Dans le cadre du groupage, AYIS prend  le minimum entre 44,28% et  la moyenne de:  22,12% , 44,28% et  le taux par poids </t>
  </si>
  <si>
    <t>Total frais de port et de douane:</t>
  </si>
  <si>
    <t xml:space="preserve">Si vous voulez une assurance AYIS  en cas de dommage ou de perte </t>
  </si>
  <si>
    <t>Choissir ici le montant que vous voulez assurer ?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</si>
</sst>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_$"/>
    <numFmt numFmtId="165" formatCode="#,##0\ &quot;$&quot;"/>
    <numFmt numFmtId="166" formatCode="#,##0.00\ &quot;$&quot;"/>
    <numFmt numFmtId="167" formatCode="#,##0\ [$F CFA]"/>
    <numFmt numFmtId="168" formatCode="#,##0\ [$F CFA/KG]"/>
    <numFmt numFmtId="169" formatCode="#,##0.00\ [$M3]"/>
    <numFmt numFmtId="170" formatCode="#,##0.00\ [$KG]"/>
    <numFmt numFmtId="171" formatCode="0.000"/>
  </numFmts>
  <fonts count="1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10"/>
      <color indexed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8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11"/>
      <color indexed="8"/>
      <name val="Tahoma"/>
      <family val="2"/>
    </font>
    <font>
      <sz val="12"/>
      <color indexed="8"/>
      <name val="Verdana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9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sz val="10"/>
      <color indexed="51"/>
      <name val="Verdana"/>
      <family val="2"/>
    </font>
    <font>
      <sz val="10"/>
      <color indexed="30"/>
      <name val="Verdan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Tahoma"/>
      <family val="2"/>
    </font>
    <font>
      <sz val="9"/>
      <color indexed="62"/>
      <name val="Tahoma"/>
      <family val="2"/>
    </font>
    <font>
      <sz val="9"/>
      <color indexed="32"/>
      <name val="Tahoma"/>
      <family val="2"/>
    </font>
    <font>
      <u val="single"/>
      <sz val="11"/>
      <color indexed="30"/>
      <name val="Calibri"/>
      <family val="2"/>
    </font>
    <font>
      <sz val="10"/>
      <color indexed="39"/>
      <name val="Comic Sans MS"/>
      <family val="4"/>
    </font>
    <font>
      <sz val="26"/>
      <color indexed="8"/>
      <name val="Calibri"/>
      <family val="2"/>
    </font>
    <font>
      <u val="single"/>
      <sz val="18"/>
      <color indexed="39"/>
      <name val="Calibri"/>
      <family val="2"/>
    </font>
    <font>
      <b/>
      <sz val="11"/>
      <color indexed="10"/>
      <name val="Calibri"/>
      <family val="2"/>
    </font>
    <font>
      <b/>
      <i/>
      <sz val="10"/>
      <name val="Verdana"/>
      <family val="2"/>
    </font>
    <font>
      <i/>
      <sz val="8"/>
      <name val="Verdana"/>
      <family val="2"/>
    </font>
    <font>
      <sz val="10"/>
      <color indexed="26"/>
      <name val="Verdana"/>
      <family val="2"/>
    </font>
    <font>
      <b/>
      <sz val="11"/>
      <color indexed="26"/>
      <name val="Calibri"/>
      <family val="2"/>
    </font>
    <font>
      <sz val="11"/>
      <color indexed="62"/>
      <name val="Calibri"/>
      <family val="2"/>
    </font>
    <font>
      <sz val="10"/>
      <color indexed="9"/>
      <name val="Arial"/>
      <family val="2"/>
    </font>
    <font>
      <sz val="10"/>
      <color indexed="34"/>
      <name val="Arial"/>
      <family val="2"/>
    </font>
    <font>
      <sz val="10"/>
      <color indexed="22"/>
      <name val="Arial"/>
      <family val="2"/>
    </font>
    <font>
      <sz val="10"/>
      <color indexed="49"/>
      <name val="Arial"/>
      <family val="2"/>
    </font>
    <font>
      <sz val="11"/>
      <color indexed="49"/>
      <name val="Calibri"/>
      <family val="2"/>
    </font>
    <font>
      <sz val="11"/>
      <color indexed="22"/>
      <name val="Calibri"/>
      <family val="2"/>
    </font>
    <font>
      <sz val="11"/>
      <color indexed="34"/>
      <name val="Calibri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i/>
      <sz val="9"/>
      <color indexed="23"/>
      <name val="Calibri"/>
      <family val="2"/>
    </font>
    <font>
      <sz val="10"/>
      <color indexed="62"/>
      <name val="Verdana"/>
      <family val="2"/>
    </font>
    <font>
      <sz val="10"/>
      <color indexed="32"/>
      <name val="Tahoma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8"/>
      <color indexed="9"/>
      <name val="Calibri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Utah Condensed"/>
      <family val="2"/>
    </font>
    <font>
      <sz val="10"/>
      <name val="Utah Condensed"/>
      <family val="2"/>
    </font>
    <font>
      <b/>
      <sz val="10"/>
      <name val="Utah Condensed"/>
      <family val="2"/>
    </font>
    <font>
      <b/>
      <sz val="10"/>
      <color indexed="8"/>
      <name val="Utah Condensed"/>
      <family val="2"/>
    </font>
    <font>
      <sz val="24"/>
      <color indexed="9"/>
      <name val="Arial Rounded MT Bold"/>
      <family val="2"/>
    </font>
    <font>
      <sz val="18"/>
      <color indexed="9"/>
      <name val="Arial Rounded MT Bold"/>
      <family val="2"/>
    </font>
    <font>
      <sz val="18"/>
      <color indexed="19"/>
      <name val="Arial Rounded MT Bold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FF"/>
      <name val="Comic Sans MS"/>
      <family val="4"/>
    </font>
    <font>
      <sz val="10"/>
      <color rgb="FFFF0000"/>
      <name val="Verdana"/>
      <family val="2"/>
    </font>
    <font>
      <sz val="10"/>
      <color theme="0"/>
      <name val="Arial"/>
      <family val="2"/>
    </font>
    <font>
      <sz val="10"/>
      <color rgb="FFFFFF00"/>
      <name val="Arial"/>
      <family val="2"/>
    </font>
    <font>
      <sz val="10"/>
      <color theme="0" tint="-0.1499900072813034"/>
      <name val="Arial"/>
      <family val="2"/>
    </font>
    <font>
      <sz val="10"/>
      <color theme="8" tint="0.39998000860214233"/>
      <name val="Arial"/>
      <family val="2"/>
    </font>
    <font>
      <b/>
      <sz val="10"/>
      <color theme="0"/>
      <name val="Arial"/>
      <family val="2"/>
    </font>
    <font>
      <sz val="11"/>
      <color theme="0" tint="-0.1499900072813034"/>
      <name val="Calibri"/>
      <family val="2"/>
    </font>
    <font>
      <sz val="11"/>
      <color rgb="FFFFFF00"/>
      <name val="Calibri"/>
      <family val="2"/>
    </font>
    <font>
      <sz val="11"/>
      <color theme="8" tint="0.39998000860214233"/>
      <name val="Calibri"/>
      <family val="2"/>
    </font>
    <font>
      <sz val="10"/>
      <color theme="2"/>
      <name val="Verdana"/>
      <family val="2"/>
    </font>
    <font>
      <sz val="11"/>
      <color theme="3"/>
      <name val="Calibri"/>
      <family val="2"/>
    </font>
    <font>
      <sz val="10"/>
      <color theme="3"/>
      <name val="Verdana"/>
      <family val="2"/>
    </font>
    <font>
      <sz val="10"/>
      <color rgb="FF000080"/>
      <name val="Tahoma"/>
      <family val="2"/>
    </font>
    <font>
      <sz val="10"/>
      <color theme="3"/>
      <name val="Calibri"/>
      <family val="2"/>
    </font>
    <font>
      <sz val="9"/>
      <color rgb="FF000080"/>
      <name val="Tahoma"/>
      <family val="2"/>
    </font>
    <font>
      <sz val="9"/>
      <color theme="3" tint="-0.24997000396251678"/>
      <name val="Tahoma"/>
      <family val="2"/>
    </font>
    <font>
      <sz val="10"/>
      <color rgb="FFFF0000"/>
      <name val="Calibri"/>
      <family val="2"/>
    </font>
    <font>
      <b/>
      <u val="single"/>
      <sz val="11"/>
      <color theme="1"/>
      <name val="Tahoma"/>
      <family val="2"/>
    </font>
    <font>
      <sz val="11"/>
      <color rgb="FFFFC000"/>
      <name val="Calibri"/>
      <family val="2"/>
    </font>
    <font>
      <sz val="10"/>
      <color rgb="FFFFC000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8"/>
      <color theme="0"/>
      <name val="Calibri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sz val="9"/>
      <color theme="1"/>
      <name val="Calibri"/>
      <family val="2"/>
    </font>
    <font>
      <u val="single"/>
      <sz val="11"/>
      <color rgb="FF0070C0"/>
      <name val="Calibri"/>
      <family val="2"/>
    </font>
    <font>
      <sz val="10"/>
      <color rgb="FF0070C0"/>
      <name val="Verdana"/>
      <family val="2"/>
    </font>
    <font>
      <i/>
      <sz val="11"/>
      <color theme="1"/>
      <name val="Calibri"/>
      <family val="2"/>
    </font>
    <font>
      <sz val="26"/>
      <color theme="1"/>
      <name val="Calibri"/>
      <family val="2"/>
    </font>
    <font>
      <sz val="11"/>
      <color rgb="FFC00000"/>
      <name val="Calibri"/>
      <family val="2"/>
    </font>
    <font>
      <b/>
      <sz val="11"/>
      <color theme="2"/>
      <name val="Calibri"/>
      <family val="2"/>
    </font>
    <font>
      <i/>
      <sz val="9"/>
      <color theme="1" tint="0.34999001026153564"/>
      <name val="Calibri"/>
      <family val="2"/>
    </font>
    <font>
      <sz val="8"/>
      <color theme="1"/>
      <name val="Calibri"/>
      <family val="2"/>
    </font>
    <font>
      <b/>
      <sz val="10"/>
      <color theme="1"/>
      <name val="Utah Condensed"/>
      <family val="2"/>
    </font>
    <font>
      <sz val="18"/>
      <color theme="0"/>
      <name val="Arial Rounded MT Bold"/>
      <family val="2"/>
    </font>
    <font>
      <sz val="24"/>
      <color theme="0"/>
      <name val="Arial Rounded MT Bold"/>
      <family val="2"/>
    </font>
    <font>
      <sz val="18"/>
      <color theme="5" tint="-0.24997000396251678"/>
      <name val="Arial Rounded MT Bold"/>
      <family val="2"/>
    </font>
    <font>
      <b/>
      <sz val="11"/>
      <color rgb="FFFF0000"/>
      <name val="Calibri"/>
      <family val="2"/>
    </font>
    <font>
      <u val="single"/>
      <sz val="18"/>
      <color theme="1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5999634265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dashed"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Dashed"/>
      <bottom style="medium"/>
    </border>
    <border>
      <left/>
      <right style="medium"/>
      <top style="mediumDashed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</borders>
  <cellStyleXfs count="3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0" borderId="2" applyNumberFormat="0" applyFill="0" applyAlignment="0" applyProtection="0"/>
    <xf numFmtId="0" fontId="0" fillId="27" borderId="3" applyNumberFormat="0" applyFont="0" applyAlignment="0" applyProtection="0"/>
    <xf numFmtId="0" fontId="86" fillId="28" borderId="1" applyNumberFormat="0" applyAlignment="0" applyProtection="0"/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Protection="0">
      <alignment vertical="top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Protection="0">
      <alignment vertical="top"/>
    </xf>
    <xf numFmtId="0" fontId="0" fillId="0" borderId="0">
      <alignment/>
      <protection/>
    </xf>
    <xf numFmtId="0" fontId="15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Protection="0">
      <alignment vertical="top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2" fillId="0" borderId="0">
      <alignment/>
      <protection/>
    </xf>
    <xf numFmtId="0" fontId="15" fillId="0" borderId="0" applyNumberFormat="0" applyFill="0" applyBorder="0" applyProtection="0">
      <alignment vertical="top"/>
    </xf>
    <xf numFmtId="0" fontId="2" fillId="0" borderId="0">
      <alignment/>
      <protection/>
    </xf>
    <xf numFmtId="0" fontId="15" fillId="0" borderId="0" applyNumberFormat="0" applyFill="0" applyBorder="0" applyProtection="0">
      <alignment vertical="top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0" fillId="31" borderId="0" applyNumberFormat="0" applyBorder="0" applyAlignment="0" applyProtection="0"/>
    <xf numFmtId="0" fontId="91" fillId="26" borderId="4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98" fillId="32" borderId="9" applyNumberFormat="0" applyAlignment="0" applyProtection="0"/>
  </cellStyleXfs>
  <cellXfs count="509">
    <xf numFmtId="0" fontId="0" fillId="0" borderId="0" xfId="0" applyFont="1" applyAlignment="1">
      <alignment/>
    </xf>
    <xf numFmtId="0" fontId="0" fillId="33" borderId="0" xfId="0" applyFill="1" applyBorder="1" applyAlignment="1" applyProtection="1">
      <alignment/>
      <protection/>
    </xf>
    <xf numFmtId="0" fontId="3" fillId="34" borderId="10" xfId="69" applyFont="1" applyFill="1" applyBorder="1" applyAlignment="1" applyProtection="1">
      <alignment horizontal="center" vertical="center"/>
      <protection/>
    </xf>
    <xf numFmtId="0" fontId="2" fillId="35" borderId="10" xfId="64" applyFont="1" applyFill="1" applyBorder="1">
      <alignment/>
      <protection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6" borderId="13" xfId="64" applyFont="1" applyFill="1" applyBorder="1">
      <alignment/>
      <protection/>
    </xf>
    <xf numFmtId="164" fontId="2" fillId="33" borderId="0" xfId="64" applyNumberFormat="1" applyFill="1" applyBorder="1">
      <alignment/>
      <protection/>
    </xf>
    <xf numFmtId="0" fontId="2" fillId="33" borderId="14" xfId="64" applyFont="1" applyFill="1" applyBorder="1" applyAlignment="1">
      <alignment horizontal="center"/>
      <protection/>
    </xf>
    <xf numFmtId="0" fontId="97" fillId="33" borderId="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2" fillId="33" borderId="10" xfId="64" applyFill="1" applyBorder="1" applyAlignment="1">
      <alignment horizontal="center"/>
      <protection/>
    </xf>
    <xf numFmtId="0" fontId="2" fillId="33" borderId="0" xfId="64" applyFill="1" applyBorder="1" applyAlignment="1">
      <alignment horizontal="center"/>
      <protection/>
    </xf>
    <xf numFmtId="0" fontId="0" fillId="33" borderId="0" xfId="0" applyFill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13" fillId="33" borderId="10" xfId="64" applyNumberFormat="1" applyFont="1" applyFill="1" applyBorder="1">
      <alignment/>
      <protection/>
    </xf>
    <xf numFmtId="164" fontId="82" fillId="33" borderId="0" xfId="0" applyNumberFormat="1" applyFont="1" applyFill="1" applyAlignment="1">
      <alignment/>
    </xf>
    <xf numFmtId="0" fontId="2" fillId="33" borderId="0" xfId="64" applyFont="1" applyFill="1" applyBorder="1">
      <alignment/>
      <protection/>
    </xf>
    <xf numFmtId="0" fontId="2" fillId="33" borderId="0" xfId="64" applyFont="1" applyFill="1" applyBorder="1" applyAlignment="1">
      <alignment horizontal="center"/>
      <protection/>
    </xf>
    <xf numFmtId="164" fontId="13" fillId="33" borderId="0" xfId="64" applyNumberFormat="1" applyFont="1" applyFill="1" applyBorder="1">
      <alignment/>
      <protection/>
    </xf>
    <xf numFmtId="0" fontId="2" fillId="37" borderId="10" xfId="64" applyFont="1" applyFill="1" applyBorder="1">
      <alignment/>
      <protection/>
    </xf>
    <xf numFmtId="0" fontId="2" fillId="37" borderId="10" xfId="64" applyFont="1" applyFill="1" applyBorder="1">
      <alignment/>
      <protection/>
    </xf>
    <xf numFmtId="2" fontId="3" fillId="34" borderId="10" xfId="69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right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36" borderId="17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15" fontId="0" fillId="36" borderId="17" xfId="0" applyNumberFormat="1" applyFill="1" applyBorder="1" applyAlignment="1">
      <alignment horizontal="left"/>
    </xf>
    <xf numFmtId="15" fontId="0" fillId="33" borderId="0" xfId="0" applyNumberFormat="1" applyFill="1" applyBorder="1" applyAlignment="1">
      <alignment horizontal="left"/>
    </xf>
    <xf numFmtId="0" fontId="83" fillId="36" borderId="17" xfId="0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99" fillId="33" borderId="0" xfId="0" applyFont="1" applyFill="1" applyBorder="1" applyAlignment="1">
      <alignment/>
    </xf>
    <xf numFmtId="0" fontId="88" fillId="33" borderId="0" xfId="45" applyFill="1" applyBorder="1" applyAlignment="1" applyProtection="1">
      <alignment wrapText="1"/>
      <protection/>
    </xf>
    <xf numFmtId="0" fontId="0" fillId="36" borderId="18" xfId="0" applyFill="1" applyBorder="1" applyAlignment="1">
      <alignment/>
    </xf>
    <xf numFmtId="0" fontId="0" fillId="0" borderId="0" xfId="0" applyBorder="1" applyAlignment="1">
      <alignment/>
    </xf>
    <xf numFmtId="2" fontId="0" fillId="36" borderId="19" xfId="0" applyNumberFormat="1" applyFill="1" applyBorder="1" applyAlignment="1" applyProtection="1">
      <alignment horizontal="center" vertical="center"/>
      <protection/>
    </xf>
    <xf numFmtId="0" fontId="0" fillId="36" borderId="20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 wrapText="1"/>
    </xf>
    <xf numFmtId="0" fontId="17" fillId="33" borderId="0" xfId="0" applyFont="1" applyFill="1" applyBorder="1" applyAlignment="1">
      <alignment/>
    </xf>
    <xf numFmtId="0" fontId="17" fillId="33" borderId="0" xfId="0" applyFont="1" applyFill="1" applyBorder="1" applyAlignment="1">
      <alignment wrapText="1"/>
    </xf>
    <xf numFmtId="0" fontId="17" fillId="33" borderId="0" xfId="45" applyFont="1" applyFill="1" applyBorder="1" applyAlignment="1" applyProtection="1">
      <alignment vertical="center"/>
      <protection/>
    </xf>
    <xf numFmtId="3" fontId="0" fillId="34" borderId="0" xfId="0" applyNumberFormat="1" applyFill="1" applyBorder="1" applyAlignment="1" applyProtection="1">
      <alignment/>
      <protection/>
    </xf>
    <xf numFmtId="2" fontId="0" fillId="34" borderId="0" xfId="0" applyNumberFormat="1" applyFill="1" applyBorder="1" applyAlignment="1" applyProtection="1">
      <alignment horizontal="center"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wrapText="1"/>
      <protection locked="0"/>
    </xf>
    <xf numFmtId="0" fontId="0" fillId="34" borderId="17" xfId="0" applyFill="1" applyBorder="1" applyAlignment="1" applyProtection="1">
      <alignment/>
      <protection/>
    </xf>
    <xf numFmtId="3" fontId="0" fillId="34" borderId="12" xfId="0" applyNumberFormat="1" applyFill="1" applyBorder="1" applyAlignment="1" applyProtection="1">
      <alignment/>
      <protection/>
    </xf>
    <xf numFmtId="2" fontId="0" fillId="34" borderId="12" xfId="0" applyNumberFormat="1" applyFill="1" applyBorder="1" applyAlignment="1" applyProtection="1">
      <alignment horizontal="center" vertical="center"/>
      <protection/>
    </xf>
    <xf numFmtId="4" fontId="0" fillId="34" borderId="12" xfId="0" applyNumberFormat="1" applyFill="1" applyBorder="1" applyAlignment="1" applyProtection="1">
      <alignment vertical="center"/>
      <protection/>
    </xf>
    <xf numFmtId="0" fontId="0" fillId="34" borderId="18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 locked="0"/>
    </xf>
    <xf numFmtId="2" fontId="0" fillId="36" borderId="21" xfId="0" applyNumberFormat="1" applyFill="1" applyBorder="1" applyAlignment="1" applyProtection="1">
      <alignment horizontal="center" vertical="center"/>
      <protection/>
    </xf>
    <xf numFmtId="2" fontId="0" fillId="33" borderId="0" xfId="0" applyNumberFormat="1" applyFill="1" applyBorder="1" applyAlignment="1" applyProtection="1">
      <alignment horizontal="center" vertical="center"/>
      <protection/>
    </xf>
    <xf numFmtId="4" fontId="0" fillId="33" borderId="0" xfId="0" applyNumberFormat="1" applyFill="1" applyBorder="1" applyAlignment="1" applyProtection="1">
      <alignment vertical="center"/>
      <protection/>
    </xf>
    <xf numFmtId="0" fontId="2" fillId="33" borderId="22" xfId="64" applyFont="1" applyFill="1" applyBorder="1" applyAlignment="1">
      <alignment horizontal="center"/>
      <protection/>
    </xf>
    <xf numFmtId="164" fontId="13" fillId="33" borderId="20" xfId="64" applyNumberFormat="1" applyFont="1" applyFill="1" applyBorder="1">
      <alignment/>
      <protection/>
    </xf>
    <xf numFmtId="0" fontId="2" fillId="33" borderId="20" xfId="64" applyFill="1" applyBorder="1" applyAlignment="1">
      <alignment horizontal="center"/>
      <protection/>
    </xf>
    <xf numFmtId="0" fontId="2" fillId="33" borderId="23" xfId="64" applyFont="1" applyFill="1" applyBorder="1" applyAlignment="1">
      <alignment horizontal="center"/>
      <protection/>
    </xf>
    <xf numFmtId="0" fontId="0" fillId="33" borderId="23" xfId="0" applyFill="1" applyBorder="1" applyAlignment="1">
      <alignment horizontal="center"/>
    </xf>
    <xf numFmtId="165" fontId="3" fillId="33" borderId="23" xfId="69" applyNumberFormat="1" applyFont="1" applyFill="1" applyBorder="1" applyAlignment="1" applyProtection="1">
      <alignment horizontal="center" vertical="center"/>
      <protection/>
    </xf>
    <xf numFmtId="0" fontId="0" fillId="38" borderId="24" xfId="0" applyFill="1" applyBorder="1" applyAlignment="1" applyProtection="1">
      <alignment/>
      <protection/>
    </xf>
    <xf numFmtId="3" fontId="0" fillId="38" borderId="0" xfId="0" applyNumberFormat="1" applyFill="1" applyBorder="1" applyAlignment="1" applyProtection="1">
      <alignment/>
      <protection/>
    </xf>
    <xf numFmtId="2" fontId="0" fillId="38" borderId="0" xfId="0" applyNumberFormat="1" applyFill="1" applyBorder="1" applyAlignment="1" applyProtection="1">
      <alignment horizontal="center" vertical="center"/>
      <protection/>
    </xf>
    <xf numFmtId="4" fontId="0" fillId="38" borderId="0" xfId="0" applyNumberFormat="1" applyFill="1" applyBorder="1" applyAlignment="1" applyProtection="1">
      <alignment horizontal="center" vertical="center"/>
      <protection/>
    </xf>
    <xf numFmtId="166" fontId="0" fillId="38" borderId="25" xfId="0" applyNumberFormat="1" applyFill="1" applyBorder="1" applyAlignment="1" applyProtection="1">
      <alignment/>
      <protection/>
    </xf>
    <xf numFmtId="3" fontId="97" fillId="38" borderId="0" xfId="0" applyNumberFormat="1" applyFont="1" applyFill="1" applyBorder="1" applyAlignment="1" applyProtection="1">
      <alignment horizontal="center"/>
      <protection/>
    </xf>
    <xf numFmtId="4" fontId="97" fillId="38" borderId="0" xfId="0" applyNumberFormat="1" applyFont="1" applyFill="1" applyBorder="1" applyAlignment="1" applyProtection="1">
      <alignment horizontal="center"/>
      <protection/>
    </xf>
    <xf numFmtId="0" fontId="97" fillId="38" borderId="17" xfId="0" applyFont="1" applyFill="1" applyBorder="1" applyAlignment="1" applyProtection="1">
      <alignment horizontal="center"/>
      <protection/>
    </xf>
    <xf numFmtId="0" fontId="0" fillId="38" borderId="26" xfId="0" applyFill="1" applyBorder="1" applyAlignment="1" applyProtection="1">
      <alignment/>
      <protection/>
    </xf>
    <xf numFmtId="3" fontId="100" fillId="38" borderId="12" xfId="0" applyNumberFormat="1" applyFont="1" applyFill="1" applyBorder="1" applyAlignment="1" applyProtection="1">
      <alignment/>
      <protection/>
    </xf>
    <xf numFmtId="0" fontId="0" fillId="36" borderId="27" xfId="0" applyFill="1" applyBorder="1" applyAlignment="1">
      <alignment horizontal="center" vertical="center" wrapText="1"/>
    </xf>
    <xf numFmtId="0" fontId="101" fillId="39" borderId="0" xfId="69" applyFont="1" applyFill="1" applyBorder="1" applyAlignment="1" applyProtection="1">
      <alignment horizontal="center" vertical="center"/>
      <protection/>
    </xf>
    <xf numFmtId="166" fontId="101" fillId="39" borderId="28" xfId="69" applyNumberFormat="1" applyFont="1" applyFill="1" applyBorder="1" applyAlignment="1" applyProtection="1">
      <alignment horizontal="center" vertical="center"/>
      <protection/>
    </xf>
    <xf numFmtId="0" fontId="3" fillId="38" borderId="11" xfId="69" applyFont="1" applyFill="1" applyBorder="1" applyAlignment="1" applyProtection="1">
      <alignment horizontal="center" vertical="center"/>
      <protection/>
    </xf>
    <xf numFmtId="4" fontId="0" fillId="38" borderId="0" xfId="0" applyNumberFormat="1" applyFill="1" applyBorder="1" applyAlignment="1" applyProtection="1">
      <alignment vertical="center"/>
      <protection/>
    </xf>
    <xf numFmtId="0" fontId="0" fillId="38" borderId="17" xfId="0" applyFill="1" applyBorder="1" applyAlignment="1" applyProtection="1">
      <alignment/>
      <protection/>
    </xf>
    <xf numFmtId="166" fontId="0" fillId="33" borderId="0" xfId="0" applyNumberForma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02" fillId="33" borderId="10" xfId="64" applyFont="1" applyFill="1" applyBorder="1" applyAlignment="1">
      <alignment horizontal="center"/>
      <protection/>
    </xf>
    <xf numFmtId="0" fontId="102" fillId="33" borderId="20" xfId="64" applyFont="1" applyFill="1" applyBorder="1" applyAlignment="1">
      <alignment horizontal="center"/>
      <protection/>
    </xf>
    <xf numFmtId="0" fontId="103" fillId="35" borderId="10" xfId="64" applyFont="1" applyFill="1" applyBorder="1" applyAlignment="1">
      <alignment horizontal="center"/>
      <protection/>
    </xf>
    <xf numFmtId="0" fontId="104" fillId="36" borderId="13" xfId="64" applyFont="1" applyFill="1" applyBorder="1" applyAlignment="1">
      <alignment horizontal="center"/>
      <protection/>
    </xf>
    <xf numFmtId="0" fontId="105" fillId="37" borderId="10" xfId="64" applyFont="1" applyFill="1" applyBorder="1" applyAlignment="1">
      <alignment horizontal="center"/>
      <protection/>
    </xf>
    <xf numFmtId="0" fontId="2" fillId="33" borderId="10" xfId="64" applyFont="1" applyFill="1" applyBorder="1" applyAlignment="1">
      <alignment horizontal="center"/>
      <protection/>
    </xf>
    <xf numFmtId="164" fontId="106" fillId="33" borderId="10" xfId="64" applyNumberFormat="1" applyFont="1" applyFill="1" applyBorder="1">
      <alignment/>
      <protection/>
    </xf>
    <xf numFmtId="164" fontId="106" fillId="33" borderId="20" xfId="64" applyNumberFormat="1" applyFont="1" applyFill="1" applyBorder="1">
      <alignment/>
      <protection/>
    </xf>
    <xf numFmtId="0" fontId="0" fillId="33" borderId="28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21" xfId="0" applyFill="1" applyBorder="1" applyAlignment="1">
      <alignment/>
    </xf>
    <xf numFmtId="9" fontId="50" fillId="33" borderId="10" xfId="303" applyFont="1" applyFill="1" applyBorder="1" applyAlignment="1">
      <alignment horizontal="center"/>
    </xf>
    <xf numFmtId="0" fontId="17" fillId="0" borderId="10" xfId="0" applyFont="1" applyBorder="1" applyAlignment="1">
      <alignment/>
    </xf>
    <xf numFmtId="9" fontId="17" fillId="33" borderId="10" xfId="303" applyFont="1" applyFill="1" applyBorder="1" applyAlignment="1">
      <alignment horizontal="center"/>
    </xf>
    <xf numFmtId="0" fontId="107" fillId="36" borderId="19" xfId="0" applyFont="1" applyFill="1" applyBorder="1" applyAlignment="1">
      <alignment/>
    </xf>
    <xf numFmtId="0" fontId="2" fillId="35" borderId="14" xfId="64" applyFont="1" applyFill="1" applyBorder="1" applyAlignment="1">
      <alignment horizontal="center"/>
      <protection/>
    </xf>
    <xf numFmtId="0" fontId="108" fillId="35" borderId="19" xfId="0" applyFont="1" applyFill="1" applyBorder="1" applyAlignment="1">
      <alignment/>
    </xf>
    <xf numFmtId="0" fontId="2" fillId="37" borderId="14" xfId="64" applyFont="1" applyFill="1" applyBorder="1" applyAlignment="1">
      <alignment horizontal="center"/>
      <protection/>
    </xf>
    <xf numFmtId="0" fontId="109" fillId="18" borderId="19" xfId="0" applyFont="1" applyFill="1" applyBorder="1" applyAlignment="1">
      <alignment/>
    </xf>
    <xf numFmtId="0" fontId="2" fillId="37" borderId="19" xfId="64" applyFont="1" applyFill="1" applyBorder="1" applyAlignment="1">
      <alignment horizontal="center"/>
      <protection/>
    </xf>
    <xf numFmtId="0" fontId="2" fillId="35" borderId="19" xfId="64" applyFont="1" applyFill="1" applyBorder="1" applyAlignment="1">
      <alignment horizontal="center"/>
      <protection/>
    </xf>
    <xf numFmtId="0" fontId="2" fillId="36" borderId="19" xfId="64" applyFont="1" applyFill="1" applyBorder="1">
      <alignment/>
      <protection/>
    </xf>
    <xf numFmtId="0" fontId="2" fillId="33" borderId="20" xfId="64" applyFont="1" applyFill="1" applyBorder="1" applyAlignment="1">
      <alignment horizontal="center"/>
      <protection/>
    </xf>
    <xf numFmtId="0" fontId="107" fillId="36" borderId="21" xfId="0" applyFont="1" applyFill="1" applyBorder="1" applyAlignment="1">
      <alignment/>
    </xf>
    <xf numFmtId="0" fontId="2" fillId="36" borderId="19" xfId="64" applyFont="1" applyFill="1" applyBorder="1" applyAlignment="1">
      <alignment horizontal="center"/>
      <protection/>
    </xf>
    <xf numFmtId="9" fontId="17" fillId="35" borderId="10" xfId="303" applyFont="1" applyFill="1" applyBorder="1" applyAlignment="1">
      <alignment horizontal="center"/>
    </xf>
    <xf numFmtId="10" fontId="17" fillId="35" borderId="10" xfId="303" applyNumberFormat="1" applyFont="1" applyFill="1" applyBorder="1" applyAlignment="1">
      <alignment horizontal="center"/>
    </xf>
    <xf numFmtId="10" fontId="17" fillId="18" borderId="10" xfId="303" applyNumberFormat="1" applyFont="1" applyFill="1" applyBorder="1" applyAlignment="1">
      <alignment horizontal="center"/>
    </xf>
    <xf numFmtId="10" fontId="50" fillId="18" borderId="10" xfId="303" applyNumberFormat="1" applyFont="1" applyFill="1" applyBorder="1" applyAlignment="1">
      <alignment horizontal="center"/>
    </xf>
    <xf numFmtId="10" fontId="17" fillId="18" borderId="10" xfId="0" applyNumberFormat="1" applyFont="1" applyFill="1" applyBorder="1" applyAlignment="1">
      <alignment horizontal="center"/>
    </xf>
    <xf numFmtId="10" fontId="0" fillId="36" borderId="10" xfId="0" applyNumberFormat="1" applyFill="1" applyBorder="1" applyAlignment="1">
      <alignment horizontal="center"/>
    </xf>
    <xf numFmtId="10" fontId="17" fillId="36" borderId="10" xfId="303" applyNumberFormat="1" applyFont="1" applyFill="1" applyBorder="1" applyAlignment="1">
      <alignment horizontal="center"/>
    </xf>
    <xf numFmtId="10" fontId="0" fillId="36" borderId="20" xfId="0" applyNumberFormat="1" applyFill="1" applyBorder="1" applyAlignment="1">
      <alignment horizontal="center"/>
    </xf>
    <xf numFmtId="10" fontId="17" fillId="36" borderId="20" xfId="303" applyNumberFormat="1" applyFont="1" applyFill="1" applyBorder="1" applyAlignment="1">
      <alignment horizontal="center"/>
    </xf>
    <xf numFmtId="0" fontId="108" fillId="35" borderId="21" xfId="0" applyFont="1" applyFill="1" applyBorder="1" applyAlignment="1">
      <alignment/>
    </xf>
    <xf numFmtId="9" fontId="50" fillId="35" borderId="20" xfId="303" applyFont="1" applyFill="1" applyBorder="1" applyAlignment="1">
      <alignment horizontal="center"/>
    </xf>
    <xf numFmtId="10" fontId="17" fillId="35" borderId="20" xfId="0" applyNumberFormat="1" applyFont="1" applyFill="1" applyBorder="1" applyAlignment="1">
      <alignment horizontal="center"/>
    </xf>
    <xf numFmtId="0" fontId="109" fillId="18" borderId="21" xfId="0" applyFont="1" applyFill="1" applyBorder="1" applyAlignment="1">
      <alignment/>
    </xf>
    <xf numFmtId="10" fontId="17" fillId="18" borderId="20" xfId="303" applyNumberFormat="1" applyFont="1" applyFill="1" applyBorder="1" applyAlignment="1">
      <alignment horizontal="center"/>
    </xf>
    <xf numFmtId="164" fontId="2" fillId="36" borderId="14" xfId="64" applyNumberFormat="1" applyFill="1" applyBorder="1" applyAlignment="1">
      <alignment horizontal="right"/>
      <protection/>
    </xf>
    <xf numFmtId="164" fontId="2" fillId="36" borderId="22" xfId="64" applyNumberFormat="1" applyFill="1" applyBorder="1" applyAlignment="1">
      <alignment horizontal="right"/>
      <protection/>
    </xf>
    <xf numFmtId="164" fontId="2" fillId="35" borderId="14" xfId="64" applyNumberFormat="1" applyFill="1" applyBorder="1" applyAlignment="1">
      <alignment horizontal="right"/>
      <protection/>
    </xf>
    <xf numFmtId="164" fontId="2" fillId="35" borderId="22" xfId="64" applyNumberFormat="1" applyFill="1" applyBorder="1" applyAlignment="1">
      <alignment horizontal="right"/>
      <protection/>
    </xf>
    <xf numFmtId="164" fontId="2" fillId="18" borderId="14" xfId="64" applyNumberFormat="1" applyFill="1" applyBorder="1" applyAlignment="1">
      <alignment horizontal="right"/>
      <protection/>
    </xf>
    <xf numFmtId="164" fontId="2" fillId="18" borderId="22" xfId="64" applyNumberFormat="1" applyFill="1" applyBorder="1" applyAlignment="1">
      <alignment horizontal="right"/>
      <protection/>
    </xf>
    <xf numFmtId="0" fontId="0" fillId="33" borderId="22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0" xfId="0" applyFill="1" applyBorder="1" applyAlignment="1">
      <alignment/>
    </xf>
    <xf numFmtId="0" fontId="2" fillId="36" borderId="31" xfId="64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102" fillId="33" borderId="10" xfId="64" applyFont="1" applyFill="1" applyBorder="1">
      <alignment/>
      <protection/>
    </xf>
    <xf numFmtId="0" fontId="0" fillId="33" borderId="23" xfId="0" applyFill="1" applyBorder="1" applyAlignment="1">
      <alignment horizontal="right"/>
    </xf>
    <xf numFmtId="0" fontId="0" fillId="0" borderId="0" xfId="0" applyAlignment="1">
      <alignment/>
    </xf>
    <xf numFmtId="0" fontId="110" fillId="39" borderId="0" xfId="69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3" fillId="39" borderId="0" xfId="69" applyFont="1" applyFill="1" applyBorder="1" applyAlignment="1" applyProtection="1">
      <alignment horizontal="center" vertical="center"/>
      <protection/>
    </xf>
    <xf numFmtId="0" fontId="3" fillId="39" borderId="0" xfId="69" applyFont="1" applyFill="1" applyBorder="1" applyAlignment="1" applyProtection="1">
      <alignment horizontal="right" vertical="center"/>
      <protection/>
    </xf>
    <xf numFmtId="164" fontId="3" fillId="39" borderId="0" xfId="69" applyNumberFormat="1" applyFont="1" applyFill="1" applyBorder="1" applyAlignment="1" applyProtection="1">
      <alignment horizontal="right" vertical="top"/>
      <protection/>
    </xf>
    <xf numFmtId="167" fontId="12" fillId="39" borderId="0" xfId="69" applyNumberFormat="1" applyFont="1" applyFill="1" applyBorder="1" applyAlignment="1" applyProtection="1">
      <alignment horizontal="center" vertical="center"/>
      <protection/>
    </xf>
    <xf numFmtId="10" fontId="0" fillId="39" borderId="0" xfId="0" applyNumberFormat="1" applyFill="1" applyBorder="1" applyAlignment="1" applyProtection="1">
      <alignment/>
      <protection/>
    </xf>
    <xf numFmtId="0" fontId="7" fillId="38" borderId="32" xfId="69" applyFont="1" applyFill="1" applyBorder="1" applyAlignment="1" applyProtection="1">
      <alignment horizontal="left" vertical="center"/>
      <protection/>
    </xf>
    <xf numFmtId="0" fontId="7" fillId="38" borderId="11" xfId="69" applyFont="1" applyFill="1" applyBorder="1" applyAlignment="1" applyProtection="1">
      <alignment horizontal="left" vertical="center"/>
      <protection/>
    </xf>
    <xf numFmtId="0" fontId="3" fillId="38" borderId="11" xfId="69" applyFont="1" applyFill="1" applyBorder="1" applyAlignment="1" applyProtection="1">
      <alignment horizontal="left" vertical="center"/>
      <protection/>
    </xf>
    <xf numFmtId="0" fontId="3" fillId="38" borderId="33" xfId="69" applyFont="1" applyFill="1" applyBorder="1" applyAlignment="1" applyProtection="1">
      <alignment horizontal="left" vertical="center"/>
      <protection/>
    </xf>
    <xf numFmtId="167" fontId="3" fillId="33" borderId="0" xfId="69" applyNumberFormat="1" applyFont="1" applyFill="1" applyBorder="1" applyAlignment="1" applyProtection="1">
      <alignment horizontal="right" vertical="center"/>
      <protection/>
    </xf>
    <xf numFmtId="166" fontId="3" fillId="6" borderId="10" xfId="69" applyNumberFormat="1" applyFont="1" applyFill="1" applyBorder="1" applyAlignment="1" applyProtection="1">
      <alignment horizontal="center" vertical="center"/>
      <protection/>
    </xf>
    <xf numFmtId="166" fontId="3" fillId="34" borderId="10" xfId="69" applyNumberFormat="1" applyFont="1" applyFill="1" applyBorder="1" applyAlignment="1" applyProtection="1">
      <alignment horizontal="center" vertical="center"/>
      <protection/>
    </xf>
    <xf numFmtId="169" fontId="3" fillId="34" borderId="10" xfId="69" applyNumberFormat="1" applyFont="1" applyFill="1" applyBorder="1" applyAlignment="1" applyProtection="1">
      <alignment horizontal="center" vertical="center"/>
      <protection/>
    </xf>
    <xf numFmtId="170" fontId="3" fillId="34" borderId="10" xfId="69" applyNumberFormat="1" applyFont="1" applyFill="1" applyBorder="1" applyAlignment="1" applyProtection="1">
      <alignment horizontal="center" vertical="center"/>
      <protection/>
    </xf>
    <xf numFmtId="167" fontId="111" fillId="40" borderId="10" xfId="0" applyNumberFormat="1" applyFont="1" applyFill="1" applyBorder="1" applyAlignment="1" applyProtection="1">
      <alignment horizontal="center"/>
      <protection/>
    </xf>
    <xf numFmtId="170" fontId="112" fillId="34" borderId="10" xfId="69" applyNumberFormat="1" applyFont="1" applyFill="1" applyBorder="1" applyAlignment="1" applyProtection="1">
      <alignment horizontal="center" vertical="center"/>
      <protection/>
    </xf>
    <xf numFmtId="165" fontId="8" fillId="33" borderId="25" xfId="69" applyNumberFormat="1" applyFont="1" applyFill="1" applyBorder="1" applyAlignment="1" applyProtection="1">
      <alignment horizontal="center" vertical="center"/>
      <protection/>
    </xf>
    <xf numFmtId="167" fontId="8" fillId="33" borderId="25" xfId="69" applyNumberFormat="1" applyFont="1" applyFill="1" applyBorder="1" applyAlignment="1" applyProtection="1">
      <alignment horizontal="right" vertical="center"/>
      <protection/>
    </xf>
    <xf numFmtId="0" fontId="82" fillId="33" borderId="0" xfId="0" applyFont="1" applyFill="1" applyBorder="1" applyAlignment="1">
      <alignment/>
    </xf>
    <xf numFmtId="0" fontId="82" fillId="33" borderId="0" xfId="0" applyFont="1" applyFill="1" applyBorder="1" applyAlignment="1" applyProtection="1">
      <alignment horizontal="right"/>
      <protection locked="0"/>
    </xf>
    <xf numFmtId="0" fontId="82" fillId="33" borderId="0" xfId="0" applyFont="1" applyFill="1" applyBorder="1" applyAlignment="1">
      <alignment horizontal="center"/>
    </xf>
    <xf numFmtId="10" fontId="82" fillId="33" borderId="0" xfId="0" applyNumberFormat="1" applyFont="1" applyFill="1" applyBorder="1" applyAlignment="1" applyProtection="1">
      <alignment horizontal="center"/>
      <protection locked="0"/>
    </xf>
    <xf numFmtId="0" fontId="113" fillId="33" borderId="0" xfId="0" applyFont="1" applyFill="1" applyAlignment="1">
      <alignment/>
    </xf>
    <xf numFmtId="0" fontId="99" fillId="33" borderId="0" xfId="0" applyFont="1" applyFill="1" applyAlignment="1">
      <alignment/>
    </xf>
    <xf numFmtId="0" fontId="114" fillId="33" borderId="0" xfId="0" applyFont="1" applyFill="1" applyAlignment="1">
      <alignment/>
    </xf>
    <xf numFmtId="9" fontId="114" fillId="33" borderId="0" xfId="0" applyNumberFormat="1" applyFont="1" applyFill="1" applyAlignment="1">
      <alignment horizontal="left"/>
    </xf>
    <xf numFmtId="171" fontId="0" fillId="36" borderId="19" xfId="0" applyNumberFormat="1" applyFill="1" applyBorder="1" applyAlignment="1" applyProtection="1">
      <alignment horizontal="center" vertical="center"/>
      <protection/>
    </xf>
    <xf numFmtId="0" fontId="110" fillId="38" borderId="0" xfId="69" applyFont="1" applyFill="1" applyBorder="1" applyAlignment="1" applyProtection="1">
      <alignment horizontal="center" vertical="center"/>
      <protection/>
    </xf>
    <xf numFmtId="0" fontId="115" fillId="33" borderId="0" xfId="0" applyFont="1" applyFill="1" applyAlignment="1">
      <alignment/>
    </xf>
    <xf numFmtId="0" fontId="116" fillId="33" borderId="0" xfId="0" applyFont="1" applyFill="1" applyAlignment="1">
      <alignment/>
    </xf>
    <xf numFmtId="9" fontId="0" fillId="33" borderId="0" xfId="0" applyNumberFormat="1" applyFill="1" applyAlignment="1">
      <alignment/>
    </xf>
    <xf numFmtId="0" fontId="0" fillId="41" borderId="0" xfId="0" applyFill="1" applyAlignment="1">
      <alignment horizontal="right"/>
    </xf>
    <xf numFmtId="0" fontId="88" fillId="41" borderId="0" xfId="45" applyFill="1" applyAlignment="1" applyProtection="1">
      <alignment/>
      <protection/>
    </xf>
    <xf numFmtId="0" fontId="82" fillId="41" borderId="0" xfId="0" applyFont="1" applyFill="1" applyAlignment="1">
      <alignment/>
    </xf>
    <xf numFmtId="3" fontId="0" fillId="33" borderId="0" xfId="0" applyNumberFormat="1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 vertical="center"/>
      <protection locked="0"/>
    </xf>
    <xf numFmtId="4" fontId="0" fillId="33" borderId="0" xfId="0" applyNumberFormat="1" applyFill="1" applyBorder="1" applyAlignment="1" applyProtection="1">
      <alignment vertical="center"/>
      <protection locked="0"/>
    </xf>
    <xf numFmtId="0" fontId="0" fillId="33" borderId="32" xfId="0" applyFill="1" applyBorder="1" applyAlignment="1" applyProtection="1">
      <alignment/>
      <protection locked="0"/>
    </xf>
    <xf numFmtId="3" fontId="0" fillId="33" borderId="11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 horizontal="center" vertical="center"/>
      <protection locked="0"/>
    </xf>
    <xf numFmtId="4" fontId="0" fillId="33" borderId="11" xfId="0" applyNumberFormat="1" applyFill="1" applyBorder="1" applyAlignment="1" applyProtection="1">
      <alignment vertical="center"/>
      <protection locked="0"/>
    </xf>
    <xf numFmtId="0" fontId="0" fillId="33" borderId="3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97" fillId="33" borderId="26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3" fontId="97" fillId="33" borderId="12" xfId="0" applyNumberFormat="1" applyFont="1" applyFill="1" applyBorder="1" applyAlignment="1" applyProtection="1">
      <alignment/>
      <protection locked="0"/>
    </xf>
    <xf numFmtId="2" fontId="97" fillId="33" borderId="12" xfId="0" applyNumberFormat="1" applyFont="1" applyFill="1" applyBorder="1" applyAlignment="1" applyProtection="1">
      <alignment/>
      <protection locked="0"/>
    </xf>
    <xf numFmtId="4" fontId="97" fillId="33" borderId="12" xfId="0" applyNumberFormat="1" applyFont="1" applyFill="1" applyBorder="1" applyAlignment="1" applyProtection="1">
      <alignment/>
      <protection locked="0"/>
    </xf>
    <xf numFmtId="0" fontId="97" fillId="33" borderId="18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9" fillId="33" borderId="0" xfId="0" applyFont="1" applyFill="1" applyBorder="1" applyAlignment="1">
      <alignment/>
    </xf>
    <xf numFmtId="9" fontId="99" fillId="33" borderId="0" xfId="0" applyNumberFormat="1" applyFont="1" applyFill="1" applyBorder="1" applyAlignment="1">
      <alignment horizontal="left"/>
    </xf>
    <xf numFmtId="0" fontId="99" fillId="33" borderId="32" xfId="0" applyFont="1" applyFill="1" applyBorder="1" applyAlignment="1">
      <alignment horizontal="left"/>
    </xf>
    <xf numFmtId="0" fontId="99" fillId="33" borderId="11" xfId="0" applyFont="1" applyFill="1" applyBorder="1" applyAlignment="1">
      <alignment horizontal="left"/>
    </xf>
    <xf numFmtId="0" fontId="99" fillId="33" borderId="11" xfId="0" applyFont="1" applyFill="1" applyBorder="1" applyAlignment="1">
      <alignment/>
    </xf>
    <xf numFmtId="0" fontId="0" fillId="33" borderId="33" xfId="0" applyFill="1" applyBorder="1" applyAlignment="1">
      <alignment/>
    </xf>
    <xf numFmtId="0" fontId="117" fillId="33" borderId="24" xfId="0" applyFont="1" applyFill="1" applyBorder="1" applyAlignment="1">
      <alignment horizontal="left"/>
    </xf>
    <xf numFmtId="0" fontId="117" fillId="33" borderId="0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99" fillId="33" borderId="24" xfId="0" applyFont="1" applyFill="1" applyBorder="1" applyAlignment="1">
      <alignment horizontal="left"/>
    </xf>
    <xf numFmtId="0" fontId="99" fillId="33" borderId="0" xfId="0" applyFont="1" applyFill="1" applyBorder="1" applyAlignment="1">
      <alignment horizontal="left"/>
    </xf>
    <xf numFmtId="0" fontId="99" fillId="33" borderId="24" xfId="0" applyFont="1" applyFill="1" applyBorder="1" applyAlignment="1">
      <alignment horizontal="left" indent="5"/>
    </xf>
    <xf numFmtId="0" fontId="99" fillId="33" borderId="0" xfId="0" applyFont="1" applyFill="1" applyBorder="1" applyAlignment="1">
      <alignment horizontal="left" indent="5"/>
    </xf>
    <xf numFmtId="0" fontId="99" fillId="33" borderId="26" xfId="0" applyFont="1" applyFill="1" applyBorder="1" applyAlignment="1">
      <alignment horizontal="left"/>
    </xf>
    <xf numFmtId="0" fontId="99" fillId="33" borderId="12" xfId="0" applyFont="1" applyFill="1" applyBorder="1" applyAlignment="1">
      <alignment horizontal="left"/>
    </xf>
    <xf numFmtId="0" fontId="99" fillId="33" borderId="12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18" fillId="33" borderId="0" xfId="0" applyFont="1" applyFill="1" applyAlignment="1">
      <alignment/>
    </xf>
    <xf numFmtId="0" fontId="88" fillId="33" borderId="0" xfId="45" applyFill="1" applyAlignment="1" applyProtection="1">
      <alignment/>
      <protection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 applyProtection="1">
      <alignment/>
      <protection/>
    </xf>
    <xf numFmtId="0" fontId="119" fillId="33" borderId="0" xfId="0" applyFont="1" applyFill="1" applyAlignment="1" applyProtection="1">
      <alignment/>
      <protection/>
    </xf>
    <xf numFmtId="0" fontId="119" fillId="33" borderId="0" xfId="0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 horizontal="center" vertical="center"/>
      <protection/>
    </xf>
    <xf numFmtId="0" fontId="120" fillId="33" borderId="0" xfId="69" applyFont="1" applyFill="1" applyAlignment="1" applyProtection="1">
      <alignment horizontal="left" vertical="center"/>
      <protection/>
    </xf>
    <xf numFmtId="1" fontId="12" fillId="33" borderId="0" xfId="69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 applyProtection="1">
      <alignment/>
      <protection/>
    </xf>
    <xf numFmtId="0" fontId="3" fillId="33" borderId="0" xfId="69" applyFont="1" applyFill="1" applyBorder="1" applyAlignment="1" applyProtection="1">
      <alignment horizontal="left" vertical="center"/>
      <protection/>
    </xf>
    <xf numFmtId="0" fontId="9" fillId="33" borderId="0" xfId="69" applyFont="1" applyFill="1" applyBorder="1" applyAlignment="1" applyProtection="1">
      <alignment horizontal="left" vertical="center"/>
      <protection/>
    </xf>
    <xf numFmtId="0" fontId="82" fillId="33" borderId="0" xfId="0" applyFont="1" applyFill="1" applyAlignment="1" applyProtection="1">
      <alignment/>
      <protection/>
    </xf>
    <xf numFmtId="0" fontId="82" fillId="33" borderId="0" xfId="0" applyFont="1" applyFill="1" applyAlignment="1" applyProtection="1">
      <alignment horizontal="left"/>
      <protection/>
    </xf>
    <xf numFmtId="0" fontId="121" fillId="33" borderId="0" xfId="69" applyFont="1" applyFill="1" applyAlignment="1" applyProtection="1">
      <alignment horizontal="left" vertical="center"/>
      <protection/>
    </xf>
    <xf numFmtId="0" fontId="82" fillId="33" borderId="0" xfId="0" applyFont="1" applyFill="1" applyBorder="1" applyAlignment="1" applyProtection="1">
      <alignment horizontal="left"/>
      <protection/>
    </xf>
    <xf numFmtId="0" fontId="122" fillId="33" borderId="0" xfId="69" applyFont="1" applyFill="1" applyBorder="1" applyAlignment="1" applyProtection="1">
      <alignment horizontal="left" vertical="center"/>
      <protection/>
    </xf>
    <xf numFmtId="0" fontId="121" fillId="33" borderId="0" xfId="69" applyFont="1" applyFill="1" applyBorder="1" applyAlignment="1" applyProtection="1">
      <alignment horizontal="left" vertical="center"/>
      <protection/>
    </xf>
    <xf numFmtId="0" fontId="121" fillId="33" borderId="0" xfId="69" applyFont="1" applyFill="1" applyBorder="1" applyAlignment="1" applyProtection="1">
      <alignment horizontal="center" vertical="center"/>
      <protection/>
    </xf>
    <xf numFmtId="0" fontId="123" fillId="33" borderId="0" xfId="0" applyFont="1" applyFill="1" applyBorder="1" applyAlignment="1" applyProtection="1">
      <alignment horizontal="right"/>
      <protection/>
    </xf>
    <xf numFmtId="0" fontId="124" fillId="33" borderId="0" xfId="69" applyFont="1" applyFill="1" applyBorder="1" applyAlignment="1" applyProtection="1">
      <alignment horizontal="left" vertical="center"/>
      <protection/>
    </xf>
    <xf numFmtId="1" fontId="125" fillId="33" borderId="0" xfId="69" applyNumberFormat="1" applyFont="1" applyFill="1" applyBorder="1" applyAlignment="1" applyProtection="1">
      <alignment horizontal="center" vertical="center"/>
      <protection/>
    </xf>
    <xf numFmtId="0" fontId="97" fillId="33" borderId="0" xfId="0" applyFont="1" applyFill="1" applyAlignment="1" applyProtection="1">
      <alignment horizontal="right"/>
      <protection/>
    </xf>
    <xf numFmtId="0" fontId="3" fillId="33" borderId="0" xfId="69" applyFont="1" applyFill="1" applyBorder="1" applyAlignment="1" applyProtection="1">
      <alignment horizontal="right" vertical="center"/>
      <protection/>
    </xf>
    <xf numFmtId="0" fontId="3" fillId="33" borderId="0" xfId="69" applyFont="1" applyFill="1" applyAlignment="1" applyProtection="1">
      <alignment horizontal="center" vertical="center"/>
      <protection/>
    </xf>
    <xf numFmtId="165" fontId="3" fillId="33" borderId="0" xfId="69" applyNumberFormat="1" applyFont="1" applyFill="1" applyBorder="1" applyAlignment="1" applyProtection="1">
      <alignment horizontal="center" vertical="center"/>
      <protection/>
    </xf>
    <xf numFmtId="0" fontId="126" fillId="33" borderId="0" xfId="0" applyFont="1" applyFill="1" applyAlignment="1" applyProtection="1">
      <alignment/>
      <protection/>
    </xf>
    <xf numFmtId="0" fontId="12" fillId="33" borderId="0" xfId="69" applyFont="1" applyFill="1" applyBorder="1" applyAlignment="1" applyProtection="1">
      <alignment horizontal="left" vertical="center"/>
      <protection/>
    </xf>
    <xf numFmtId="164" fontId="3" fillId="33" borderId="0" xfId="69" applyNumberFormat="1" applyFont="1" applyFill="1" applyBorder="1" applyAlignment="1" applyProtection="1">
      <alignment horizontal="right" vertical="top"/>
      <protection/>
    </xf>
    <xf numFmtId="167" fontId="12" fillId="33" borderId="0" xfId="69" applyNumberFormat="1" applyFont="1" applyFill="1" applyBorder="1" applyAlignment="1" applyProtection="1">
      <alignment horizontal="center" vertical="center"/>
      <protection/>
    </xf>
    <xf numFmtId="10" fontId="0" fillId="33" borderId="0" xfId="0" applyNumberFormat="1" applyFill="1" applyBorder="1" applyAlignment="1" applyProtection="1">
      <alignment/>
      <protection/>
    </xf>
    <xf numFmtId="0" fontId="82" fillId="33" borderId="0" xfId="0" applyFont="1" applyFill="1" applyAlignment="1" applyProtection="1">
      <alignment horizontal="right"/>
      <protection/>
    </xf>
    <xf numFmtId="0" fontId="10" fillId="33" borderId="0" xfId="69" applyFont="1" applyFill="1" applyBorder="1" applyAlignment="1" applyProtection="1">
      <alignment horizontal="center" vertical="center"/>
      <protection/>
    </xf>
    <xf numFmtId="0" fontId="3" fillId="33" borderId="11" xfId="69" applyFont="1" applyFill="1" applyBorder="1" applyAlignment="1" applyProtection="1">
      <alignment horizontal="center" vertical="center"/>
      <protection/>
    </xf>
    <xf numFmtId="0" fontId="3" fillId="33" borderId="12" xfId="69" applyFont="1" applyFill="1" applyBorder="1" applyAlignment="1" applyProtection="1">
      <alignment horizontal="center" vertical="center"/>
      <protection/>
    </xf>
    <xf numFmtId="0" fontId="101" fillId="33" borderId="0" xfId="69" applyFont="1" applyFill="1" applyBorder="1" applyAlignment="1" applyProtection="1">
      <alignment horizontal="center" vertical="center"/>
      <protection/>
    </xf>
    <xf numFmtId="0" fontId="3" fillId="33" borderId="23" xfId="69" applyFont="1" applyFill="1" applyBorder="1" applyAlignment="1" applyProtection="1">
      <alignment horizontal="center" vertical="center"/>
      <protection/>
    </xf>
    <xf numFmtId="0" fontId="7" fillId="33" borderId="0" xfId="69" applyFont="1" applyFill="1" applyAlignment="1" applyProtection="1">
      <alignment horizontal="left" vertical="center"/>
      <protection/>
    </xf>
    <xf numFmtId="165" fontId="3" fillId="33" borderId="0" xfId="69" applyNumberFormat="1" applyFont="1" applyFill="1" applyBorder="1" applyAlignment="1" applyProtection="1">
      <alignment horizontal="right" vertical="center"/>
      <protection/>
    </xf>
    <xf numFmtId="0" fontId="37" fillId="33" borderId="0" xfId="69" applyFont="1" applyFill="1" applyBorder="1" applyAlignment="1" applyProtection="1">
      <alignment horizontal="left" vertical="center"/>
      <protection/>
    </xf>
    <xf numFmtId="0" fontId="8" fillId="33" borderId="0" xfId="69" applyFont="1" applyFill="1" applyBorder="1" applyAlignment="1" applyProtection="1">
      <alignment horizontal="center" vertical="center"/>
      <protection/>
    </xf>
    <xf numFmtId="0" fontId="7" fillId="33" borderId="0" xfId="69" applyFont="1" applyFill="1" applyBorder="1" applyAlignment="1" applyProtection="1">
      <alignment horizontal="left" vertical="center"/>
      <protection/>
    </xf>
    <xf numFmtId="167" fontId="3" fillId="33" borderId="0" xfId="69" applyNumberFormat="1" applyFont="1" applyFill="1" applyAlignment="1" applyProtection="1">
      <alignment horizontal="center" vertical="center"/>
      <protection/>
    </xf>
    <xf numFmtId="167" fontId="8" fillId="33" borderId="0" xfId="69" applyNumberFormat="1" applyFont="1" applyFill="1" applyBorder="1" applyAlignment="1" applyProtection="1">
      <alignment horizontal="right" vertical="center"/>
      <protection/>
    </xf>
    <xf numFmtId="0" fontId="3" fillId="33" borderId="0" xfId="69" applyFont="1" applyFill="1" applyAlignment="1" applyProtection="1">
      <alignment horizontal="left" vertical="center" indent="1"/>
      <protection/>
    </xf>
    <xf numFmtId="0" fontId="127" fillId="33" borderId="0" xfId="45" applyFont="1" applyFill="1" applyAlignment="1" applyProtection="1">
      <alignment horizontal="center" vertical="center"/>
      <protection/>
    </xf>
    <xf numFmtId="0" fontId="128" fillId="33" borderId="0" xfId="69" applyFont="1" applyFill="1" applyAlignment="1" applyProtection="1">
      <alignment horizontal="center" vertical="center"/>
      <protection/>
    </xf>
    <xf numFmtId="0" fontId="97" fillId="33" borderId="0" xfId="0" applyFont="1" applyFill="1" applyBorder="1" applyAlignment="1" applyProtection="1">
      <alignment horizontal="right"/>
      <protection/>
    </xf>
    <xf numFmtId="0" fontId="12" fillId="33" borderId="12" xfId="69" applyFont="1" applyFill="1" applyBorder="1" applyAlignment="1" applyProtection="1">
      <alignment horizontal="center" vertical="center"/>
      <protection/>
    </xf>
    <xf numFmtId="0" fontId="11" fillId="33" borderId="0" xfId="69" applyFont="1" applyFill="1" applyBorder="1" applyAlignment="1" applyProtection="1">
      <alignment horizontal="center" vertical="center"/>
      <protection/>
    </xf>
    <xf numFmtId="0" fontId="126" fillId="33" borderId="0" xfId="0" applyFont="1" applyFill="1" applyBorder="1" applyAlignment="1">
      <alignment/>
    </xf>
    <xf numFmtId="0" fontId="3" fillId="33" borderId="34" xfId="69" applyFont="1" applyFill="1" applyBorder="1" applyAlignment="1" applyProtection="1">
      <alignment horizontal="center" vertical="center"/>
      <protection/>
    </xf>
    <xf numFmtId="0" fontId="110" fillId="33" borderId="0" xfId="69" applyFont="1" applyFill="1" applyBorder="1" applyAlignment="1" applyProtection="1">
      <alignment horizontal="center" vertical="center"/>
      <protection/>
    </xf>
    <xf numFmtId="167" fontId="11" fillId="33" borderId="0" xfId="69" applyNumberFormat="1" applyFont="1" applyFill="1" applyBorder="1" applyAlignment="1" applyProtection="1">
      <alignment horizontal="right" vertical="top"/>
      <protection/>
    </xf>
    <xf numFmtId="167" fontId="11" fillId="36" borderId="35" xfId="69" applyNumberFormat="1" applyFont="1" applyFill="1" applyBorder="1" applyAlignment="1" applyProtection="1">
      <alignment horizontal="right" vertical="top"/>
      <protection/>
    </xf>
    <xf numFmtId="167" fontId="11" fillId="36" borderId="36" xfId="69" applyNumberFormat="1" applyFont="1" applyFill="1" applyBorder="1" applyAlignment="1" applyProtection="1">
      <alignment horizontal="right" vertical="top"/>
      <protection/>
    </xf>
    <xf numFmtId="0" fontId="110" fillId="38" borderId="12" xfId="69" applyFont="1" applyFill="1" applyBorder="1" applyAlignment="1" applyProtection="1">
      <alignment horizontal="center" vertical="center"/>
      <protection/>
    </xf>
    <xf numFmtId="167" fontId="12" fillId="33" borderId="11" xfId="69" applyNumberFormat="1" applyFont="1" applyFill="1" applyBorder="1" applyAlignment="1" applyProtection="1">
      <alignment horizontal="center" vertical="center"/>
      <protection/>
    </xf>
    <xf numFmtId="10" fontId="0" fillId="33" borderId="11" xfId="0" applyNumberFormat="1" applyFill="1" applyBorder="1" applyAlignment="1" applyProtection="1">
      <alignment horizontal="center"/>
      <protection/>
    </xf>
    <xf numFmtId="0" fontId="129" fillId="33" borderId="0" xfId="0" applyFont="1" applyFill="1" applyAlignment="1" applyProtection="1">
      <alignment/>
      <protection/>
    </xf>
    <xf numFmtId="0" fontId="38" fillId="33" borderId="22" xfId="69" applyFont="1" applyFill="1" applyBorder="1" applyAlignment="1" applyProtection="1">
      <alignment horizontal="center" vertical="center"/>
      <protection/>
    </xf>
    <xf numFmtId="0" fontId="12" fillId="33" borderId="28" xfId="69" applyFont="1" applyFill="1" applyBorder="1" applyAlignment="1" applyProtection="1">
      <alignment horizontal="left" vertical="center" wrapText="1"/>
      <protection/>
    </xf>
    <xf numFmtId="0" fontId="0" fillId="33" borderId="21" xfId="0" applyFill="1" applyBorder="1" applyAlignment="1" applyProtection="1">
      <alignment/>
      <protection/>
    </xf>
    <xf numFmtId="0" fontId="38" fillId="33" borderId="15" xfId="69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/>
      <protection/>
    </xf>
    <xf numFmtId="0" fontId="38" fillId="33" borderId="31" xfId="69" applyFont="1" applyFill="1" applyBorder="1" applyAlignment="1" applyProtection="1">
      <alignment horizontal="center" vertical="center"/>
      <protection/>
    </xf>
    <xf numFmtId="0" fontId="12" fillId="33" borderId="37" xfId="69" applyFont="1" applyFill="1" applyBorder="1" applyAlignment="1" applyProtection="1">
      <alignment horizontal="left" vertical="center"/>
      <protection/>
    </xf>
    <xf numFmtId="0" fontId="0" fillId="33" borderId="38" xfId="0" applyFill="1" applyBorder="1" applyAlignment="1" applyProtection="1">
      <alignment/>
      <protection/>
    </xf>
    <xf numFmtId="0" fontId="7" fillId="33" borderId="39" xfId="69" applyFont="1" applyFill="1" applyBorder="1" applyAlignment="1" applyProtection="1">
      <alignment horizontal="left" vertical="center"/>
      <protection/>
    </xf>
    <xf numFmtId="0" fontId="7" fillId="33" borderId="23" xfId="69" applyFont="1" applyFill="1" applyBorder="1" applyAlignment="1" applyProtection="1">
      <alignment horizontal="left" vertical="center"/>
      <protection/>
    </xf>
    <xf numFmtId="0" fontId="3" fillId="33" borderId="23" xfId="69" applyFont="1" applyFill="1" applyBorder="1" applyAlignment="1" applyProtection="1">
      <alignment horizontal="right" vertical="center"/>
      <protection/>
    </xf>
    <xf numFmtId="165" fontId="3" fillId="33" borderId="23" xfId="69" applyNumberFormat="1" applyFont="1" applyFill="1" applyBorder="1" applyAlignment="1" applyProtection="1">
      <alignment horizontal="right" vertical="center"/>
      <protection/>
    </xf>
    <xf numFmtId="0" fontId="0" fillId="33" borderId="40" xfId="0" applyFill="1" applyBorder="1" applyAlignment="1" applyProtection="1">
      <alignment horizontal="center"/>
      <protection/>
    </xf>
    <xf numFmtId="0" fontId="3" fillId="33" borderId="36" xfId="69" applyFont="1" applyFill="1" applyBorder="1" applyAlignment="1" applyProtection="1">
      <alignment horizontal="center" vertical="center"/>
      <protection/>
    </xf>
    <xf numFmtId="0" fontId="3" fillId="33" borderId="41" xfId="69" applyFont="1" applyFill="1" applyBorder="1" applyAlignment="1" applyProtection="1">
      <alignment horizontal="center" vertical="center"/>
      <protection/>
    </xf>
    <xf numFmtId="0" fontId="3" fillId="33" borderId="41" xfId="69" applyFont="1" applyFill="1" applyBorder="1" applyAlignment="1" applyProtection="1">
      <alignment horizontal="right" vertical="center"/>
      <protection/>
    </xf>
    <xf numFmtId="0" fontId="6" fillId="33" borderId="0" xfId="69" applyFont="1" applyFill="1" applyBorder="1" applyAlignment="1" applyProtection="1">
      <alignment horizontal="center" vertical="center"/>
      <protection/>
    </xf>
    <xf numFmtId="0" fontId="3" fillId="33" borderId="27" xfId="69" applyFont="1" applyFill="1" applyBorder="1" applyAlignment="1" applyProtection="1">
      <alignment horizontal="left" vertical="center"/>
      <protection/>
    </xf>
    <xf numFmtId="0" fontId="3" fillId="33" borderId="16" xfId="69" applyFont="1" applyFill="1" applyBorder="1" applyAlignment="1" applyProtection="1">
      <alignment horizontal="center" vertical="center"/>
      <protection/>
    </xf>
    <xf numFmtId="0" fontId="3" fillId="33" borderId="37" xfId="69" applyFont="1" applyFill="1" applyBorder="1" applyAlignment="1" applyProtection="1">
      <alignment horizontal="center" vertical="center"/>
      <protection/>
    </xf>
    <xf numFmtId="0" fontId="3" fillId="33" borderId="22" xfId="69" applyFont="1" applyFill="1" applyBorder="1" applyAlignment="1" applyProtection="1">
      <alignment horizontal="center" vertical="center"/>
      <protection/>
    </xf>
    <xf numFmtId="0" fontId="3" fillId="33" borderId="28" xfId="69" applyFont="1" applyFill="1" applyBorder="1" applyAlignment="1" applyProtection="1">
      <alignment horizontal="center" vertical="center"/>
      <protection/>
    </xf>
    <xf numFmtId="0" fontId="3" fillId="33" borderId="15" xfId="69" applyFont="1" applyFill="1" applyBorder="1" applyAlignment="1" applyProtection="1">
      <alignment horizontal="center" vertical="center"/>
      <protection/>
    </xf>
    <xf numFmtId="0" fontId="3" fillId="33" borderId="15" xfId="69" applyFont="1" applyFill="1" applyBorder="1" applyAlignment="1" applyProtection="1">
      <alignment vertical="center"/>
      <protection/>
    </xf>
    <xf numFmtId="0" fontId="3" fillId="33" borderId="0" xfId="69" applyFont="1" applyFill="1" applyBorder="1" applyAlignment="1" applyProtection="1">
      <alignment vertical="center"/>
      <protection/>
    </xf>
    <xf numFmtId="0" fontId="3" fillId="33" borderId="15" xfId="69" applyFont="1" applyFill="1" applyBorder="1" applyAlignment="1" applyProtection="1">
      <alignment horizontal="left" vertical="center"/>
      <protection/>
    </xf>
    <xf numFmtId="0" fontId="17" fillId="33" borderId="15" xfId="0" applyFont="1" applyFill="1" applyBorder="1" applyAlignment="1" applyProtection="1">
      <alignment/>
      <protection/>
    </xf>
    <xf numFmtId="1" fontId="82" fillId="33" borderId="15" xfId="0" applyNumberFormat="1" applyFont="1" applyFill="1" applyBorder="1" applyAlignment="1" applyProtection="1">
      <alignment horizontal="left"/>
      <protection/>
    </xf>
    <xf numFmtId="1" fontId="82" fillId="33" borderId="0" xfId="0" applyNumberFormat="1" applyFont="1" applyFill="1" applyBorder="1" applyAlignment="1" applyProtection="1">
      <alignment horizontal="left"/>
      <protection/>
    </xf>
    <xf numFmtId="0" fontId="82" fillId="33" borderId="0" xfId="0" applyFont="1" applyFill="1" applyBorder="1" applyAlignment="1" applyProtection="1">
      <alignment/>
      <protection/>
    </xf>
    <xf numFmtId="0" fontId="82" fillId="33" borderId="16" xfId="0" applyFont="1" applyFill="1" applyBorder="1" applyAlignment="1" applyProtection="1">
      <alignment/>
      <protection/>
    </xf>
    <xf numFmtId="0" fontId="82" fillId="33" borderId="31" xfId="0" applyFont="1" applyFill="1" applyBorder="1" applyAlignment="1" applyProtection="1">
      <alignment horizontal="left"/>
      <protection/>
    </xf>
    <xf numFmtId="0" fontId="82" fillId="33" borderId="37" xfId="0" applyFont="1" applyFill="1" applyBorder="1" applyAlignment="1" applyProtection="1">
      <alignment horizontal="left"/>
      <protection/>
    </xf>
    <xf numFmtId="0" fontId="121" fillId="33" borderId="37" xfId="69" applyFont="1" applyFill="1" applyBorder="1" applyAlignment="1" applyProtection="1">
      <alignment horizontal="left" vertical="center"/>
      <protection/>
    </xf>
    <xf numFmtId="0" fontId="82" fillId="33" borderId="37" xfId="0" applyFont="1" applyFill="1" applyBorder="1" applyAlignment="1" applyProtection="1">
      <alignment/>
      <protection/>
    </xf>
    <xf numFmtId="0" fontId="123" fillId="33" borderId="37" xfId="0" applyFont="1" applyFill="1" applyBorder="1" applyAlignment="1" applyProtection="1">
      <alignment horizontal="right"/>
      <protection/>
    </xf>
    <xf numFmtId="0" fontId="124" fillId="33" borderId="37" xfId="69" applyFont="1" applyFill="1" applyBorder="1" applyAlignment="1" applyProtection="1">
      <alignment horizontal="left" vertical="center"/>
      <protection/>
    </xf>
    <xf numFmtId="1" fontId="125" fillId="33" borderId="37" xfId="69" applyNumberFormat="1" applyFont="1" applyFill="1" applyBorder="1" applyAlignment="1" applyProtection="1">
      <alignment horizontal="center" vertical="center"/>
      <protection/>
    </xf>
    <xf numFmtId="0" fontId="82" fillId="33" borderId="38" xfId="0" applyFont="1" applyFill="1" applyBorder="1" applyAlignment="1" applyProtection="1">
      <alignment/>
      <protection/>
    </xf>
    <xf numFmtId="0" fontId="82" fillId="33" borderId="22" xfId="0" applyFont="1" applyFill="1" applyBorder="1" applyAlignment="1" applyProtection="1">
      <alignment horizontal="left"/>
      <protection/>
    </xf>
    <xf numFmtId="0" fontId="82" fillId="33" borderId="28" xfId="0" applyFont="1" applyFill="1" applyBorder="1" applyAlignment="1" applyProtection="1">
      <alignment horizontal="left"/>
      <protection/>
    </xf>
    <xf numFmtId="1" fontId="82" fillId="33" borderId="28" xfId="0" applyNumberFormat="1" applyFont="1" applyFill="1" applyBorder="1" applyAlignment="1" applyProtection="1">
      <alignment horizontal="left"/>
      <protection/>
    </xf>
    <xf numFmtId="0" fontId="121" fillId="33" borderId="28" xfId="69" applyFont="1" applyFill="1" applyBorder="1" applyAlignment="1" applyProtection="1">
      <alignment horizontal="left" vertical="center"/>
      <protection/>
    </xf>
    <xf numFmtId="0" fontId="82" fillId="33" borderId="28" xfId="0" applyFont="1" applyFill="1" applyBorder="1" applyAlignment="1" applyProtection="1">
      <alignment/>
      <protection/>
    </xf>
    <xf numFmtId="0" fontId="123" fillId="33" borderId="28" xfId="0" applyFont="1" applyFill="1" applyBorder="1" applyAlignment="1" applyProtection="1">
      <alignment horizontal="right"/>
      <protection/>
    </xf>
    <xf numFmtId="0" fontId="124" fillId="33" borderId="28" xfId="69" applyFont="1" applyFill="1" applyBorder="1" applyAlignment="1" applyProtection="1">
      <alignment horizontal="left" vertical="center"/>
      <protection/>
    </xf>
    <xf numFmtId="1" fontId="125" fillId="33" borderId="28" xfId="69" applyNumberFormat="1" applyFont="1" applyFill="1" applyBorder="1" applyAlignment="1" applyProtection="1">
      <alignment horizontal="center" vertical="center"/>
      <protection/>
    </xf>
    <xf numFmtId="0" fontId="82" fillId="33" borderId="21" xfId="0" applyFont="1" applyFill="1" applyBorder="1" applyAlignment="1" applyProtection="1">
      <alignment/>
      <protection/>
    </xf>
    <xf numFmtId="0" fontId="83" fillId="33" borderId="16" xfId="0" applyFont="1" applyFill="1" applyBorder="1" applyAlignment="1" applyProtection="1">
      <alignment/>
      <protection/>
    </xf>
    <xf numFmtId="0" fontId="83" fillId="39" borderId="16" xfId="0" applyFont="1" applyFill="1" applyBorder="1" applyAlignment="1" applyProtection="1">
      <alignment/>
      <protection/>
    </xf>
    <xf numFmtId="0" fontId="3" fillId="33" borderId="31" xfId="69" applyFont="1" applyFill="1" applyBorder="1" applyAlignment="1" applyProtection="1">
      <alignment horizontal="left" vertical="center"/>
      <protection/>
    </xf>
    <xf numFmtId="0" fontId="3" fillId="33" borderId="37" xfId="69" applyFont="1" applyFill="1" applyBorder="1" applyAlignment="1" applyProtection="1">
      <alignment horizontal="left" vertical="center"/>
      <protection/>
    </xf>
    <xf numFmtId="0" fontId="3" fillId="33" borderId="37" xfId="69" applyFont="1" applyFill="1" applyBorder="1" applyAlignment="1" applyProtection="1">
      <alignment horizontal="right" vertical="center"/>
      <protection/>
    </xf>
    <xf numFmtId="0" fontId="0" fillId="33" borderId="37" xfId="0" applyFill="1" applyBorder="1" applyAlignment="1" applyProtection="1">
      <alignment/>
      <protection/>
    </xf>
    <xf numFmtId="165" fontId="3" fillId="33" borderId="37" xfId="69" applyNumberFormat="1" applyFont="1" applyFill="1" applyBorder="1" applyAlignment="1" applyProtection="1">
      <alignment horizontal="center" vertical="center"/>
      <protection/>
    </xf>
    <xf numFmtId="167" fontId="3" fillId="33" borderId="37" xfId="69" applyNumberFormat="1" applyFont="1" applyFill="1" applyBorder="1" applyAlignment="1" applyProtection="1">
      <alignment horizontal="right" vertical="center"/>
      <protection/>
    </xf>
    <xf numFmtId="9" fontId="3" fillId="33" borderId="15" xfId="303" applyFont="1" applyFill="1" applyBorder="1" applyAlignment="1" applyProtection="1">
      <alignment horizontal="left" vertical="center"/>
      <protection locked="0"/>
    </xf>
    <xf numFmtId="0" fontId="3" fillId="33" borderId="22" xfId="69" applyFont="1" applyFill="1" applyBorder="1" applyAlignment="1" applyProtection="1">
      <alignment horizontal="left" vertical="center"/>
      <protection/>
    </xf>
    <xf numFmtId="0" fontId="3" fillId="33" borderId="28" xfId="69" applyFont="1" applyFill="1" applyBorder="1" applyAlignment="1" applyProtection="1">
      <alignment horizontal="left" vertical="center"/>
      <protection/>
    </xf>
    <xf numFmtId="9" fontId="3" fillId="33" borderId="15" xfId="303" applyFont="1" applyFill="1" applyBorder="1" applyAlignment="1" applyProtection="1">
      <alignment horizontal="left" vertical="center"/>
      <protection/>
    </xf>
    <xf numFmtId="0" fontId="3" fillId="33" borderId="16" xfId="69" applyFont="1" applyFill="1" applyBorder="1" applyAlignment="1" applyProtection="1">
      <alignment horizontal="left" vertical="center"/>
      <protection/>
    </xf>
    <xf numFmtId="166" fontId="101" fillId="42" borderId="13" xfId="69" applyNumberFormat="1" applyFont="1" applyFill="1" applyBorder="1" applyAlignment="1" applyProtection="1">
      <alignment horizontal="center" vertical="center"/>
      <protection/>
    </xf>
    <xf numFmtId="165" fontId="3" fillId="42" borderId="10" xfId="69" applyNumberFormat="1" applyFont="1" applyFill="1" applyBorder="1" applyAlignment="1" applyProtection="1">
      <alignment horizontal="center" vertical="center"/>
      <protection/>
    </xf>
    <xf numFmtId="0" fontId="3" fillId="33" borderId="21" xfId="69" applyFont="1" applyFill="1" applyBorder="1" applyAlignment="1" applyProtection="1">
      <alignment horizontal="left" vertical="center"/>
      <protection/>
    </xf>
    <xf numFmtId="0" fontId="3" fillId="33" borderId="38" xfId="69" applyFont="1" applyFill="1" applyBorder="1" applyAlignment="1" applyProtection="1">
      <alignment horizontal="left" vertical="center"/>
      <protection/>
    </xf>
    <xf numFmtId="0" fontId="130" fillId="33" borderId="0" xfId="0" applyFont="1" applyFill="1" applyAlignment="1">
      <alignment horizontal="center"/>
    </xf>
    <xf numFmtId="0" fontId="99" fillId="33" borderId="24" xfId="0" applyFont="1" applyFill="1" applyBorder="1" applyAlignment="1">
      <alignment horizontal="left"/>
    </xf>
    <xf numFmtId="0" fontId="121" fillId="33" borderId="22" xfId="69" applyFont="1" applyFill="1" applyBorder="1" applyAlignment="1" applyProtection="1">
      <alignment horizontal="center" vertical="center"/>
      <protection/>
    </xf>
    <xf numFmtId="0" fontId="3" fillId="33" borderId="15" xfId="69" applyFont="1" applyFill="1" applyBorder="1" applyAlignment="1" applyProtection="1">
      <alignment horizontal="right" vertical="center"/>
      <protection/>
    </xf>
    <xf numFmtId="0" fontId="3" fillId="33" borderId="31" xfId="69" applyFont="1" applyFill="1" applyBorder="1" applyAlignment="1" applyProtection="1">
      <alignment horizontal="center" vertical="center"/>
      <protection/>
    </xf>
    <xf numFmtId="0" fontId="0" fillId="36" borderId="34" xfId="0" applyFill="1" applyBorder="1" applyAlignment="1">
      <alignment/>
    </xf>
    <xf numFmtId="0" fontId="0" fillId="36" borderId="42" xfId="0" applyFill="1" applyBorder="1" applyAlignment="1">
      <alignment/>
    </xf>
    <xf numFmtId="0" fontId="0" fillId="36" borderId="42" xfId="0" applyFill="1" applyBorder="1" applyAlignment="1">
      <alignment vertical="top"/>
    </xf>
    <xf numFmtId="0" fontId="0" fillId="36" borderId="43" xfId="0" applyFill="1" applyBorder="1" applyAlignment="1">
      <alignment/>
    </xf>
    <xf numFmtId="0" fontId="0" fillId="33" borderId="35" xfId="0" applyFill="1" applyBorder="1" applyAlignment="1" applyProtection="1">
      <alignment/>
      <protection locked="0"/>
    </xf>
    <xf numFmtId="0" fontId="0" fillId="33" borderId="35" xfId="0" applyFill="1" applyBorder="1" applyAlignment="1" applyProtection="1">
      <alignment wrapText="1"/>
      <protection locked="0"/>
    </xf>
    <xf numFmtId="0" fontId="88" fillId="33" borderId="44" xfId="45" applyFill="1" applyBorder="1" applyAlignment="1" applyProtection="1">
      <alignment wrapText="1"/>
      <protection locked="0"/>
    </xf>
    <xf numFmtId="0" fontId="88" fillId="33" borderId="35" xfId="45" applyFill="1" applyBorder="1" applyAlignment="1" applyProtection="1">
      <alignment vertical="center"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3" fontId="0" fillId="33" borderId="20" xfId="0" applyNumberFormat="1" applyFill="1" applyBorder="1" applyAlignment="1" applyProtection="1">
      <alignment/>
      <protection locked="0"/>
    </xf>
    <xf numFmtId="3" fontId="131" fillId="33" borderId="10" xfId="0" applyNumberFormat="1" applyFont="1" applyFill="1" applyBorder="1" applyAlignment="1" applyProtection="1">
      <alignment/>
      <protection locked="0"/>
    </xf>
    <xf numFmtId="166" fontId="0" fillId="33" borderId="10" xfId="0" applyNumberFormat="1" applyFill="1" applyBorder="1" applyAlignment="1" applyProtection="1">
      <alignment/>
      <protection locked="0"/>
    </xf>
    <xf numFmtId="166" fontId="0" fillId="33" borderId="20" xfId="0" applyNumberFormat="1" applyFill="1" applyBorder="1" applyAlignment="1" applyProtection="1">
      <alignment/>
      <protection locked="0"/>
    </xf>
    <xf numFmtId="0" fontId="83" fillId="38" borderId="17" xfId="0" applyFont="1" applyFill="1" applyBorder="1" applyAlignment="1" applyProtection="1">
      <alignment/>
      <protection locked="0"/>
    </xf>
    <xf numFmtId="0" fontId="0" fillId="43" borderId="34" xfId="0" applyFill="1" applyBorder="1" applyAlignment="1">
      <alignment/>
    </xf>
    <xf numFmtId="0" fontId="0" fillId="43" borderId="17" xfId="0" applyFill="1" applyBorder="1" applyAlignment="1">
      <alignment/>
    </xf>
    <xf numFmtId="0" fontId="99" fillId="33" borderId="45" xfId="0" applyFont="1" applyFill="1" applyBorder="1" applyAlignment="1" applyProtection="1">
      <alignment/>
      <protection locked="0"/>
    </xf>
    <xf numFmtId="0" fontId="0" fillId="43" borderId="46" xfId="0" applyFill="1" applyBorder="1" applyAlignment="1">
      <alignment/>
    </xf>
    <xf numFmtId="0" fontId="0" fillId="43" borderId="47" xfId="0" applyFill="1" applyBorder="1" applyAlignment="1" applyProtection="1">
      <alignment/>
      <protection/>
    </xf>
    <xf numFmtId="0" fontId="0" fillId="43" borderId="48" xfId="0" applyFill="1" applyBorder="1" applyAlignment="1">
      <alignment/>
    </xf>
    <xf numFmtId="0" fontId="0" fillId="43" borderId="33" xfId="0" applyFill="1" applyBorder="1" applyAlignment="1" applyProtection="1">
      <alignment/>
      <protection/>
    </xf>
    <xf numFmtId="0" fontId="0" fillId="43" borderId="33" xfId="0" applyFill="1" applyBorder="1" applyAlignment="1">
      <alignment/>
    </xf>
    <xf numFmtId="0" fontId="0" fillId="42" borderId="32" xfId="0" applyFill="1" applyBorder="1" applyAlignment="1">
      <alignment/>
    </xf>
    <xf numFmtId="0" fontId="0" fillId="42" borderId="49" xfId="0" applyFill="1" applyBorder="1" applyAlignment="1">
      <alignment/>
    </xf>
    <xf numFmtId="167" fontId="11" fillId="33" borderId="11" xfId="69" applyNumberFormat="1" applyFont="1" applyFill="1" applyBorder="1" applyAlignment="1" applyProtection="1">
      <alignment horizontal="center" vertical="center"/>
      <protection/>
    </xf>
    <xf numFmtId="0" fontId="126" fillId="33" borderId="27" xfId="0" applyFont="1" applyFill="1" applyBorder="1" applyAlignment="1" applyProtection="1">
      <alignment/>
      <protection/>
    </xf>
    <xf numFmtId="9" fontId="132" fillId="38" borderId="0" xfId="303" applyFont="1" applyFill="1" applyBorder="1" applyAlignment="1" applyProtection="1">
      <alignment horizontal="center"/>
      <protection/>
    </xf>
    <xf numFmtId="3" fontId="97" fillId="38" borderId="0" xfId="0" applyNumberFormat="1" applyFont="1" applyFill="1" applyBorder="1" applyAlignment="1" applyProtection="1">
      <alignment horizontal="left"/>
      <protection/>
    </xf>
    <xf numFmtId="3" fontId="0" fillId="38" borderId="0" xfId="0" applyNumberFormat="1" applyFill="1" applyBorder="1" applyAlignment="1" applyProtection="1">
      <alignment horizontal="right"/>
      <protection/>
    </xf>
    <xf numFmtId="3" fontId="0" fillId="38" borderId="12" xfId="0" applyNumberFormat="1" applyFill="1" applyBorder="1" applyAlignment="1" applyProtection="1">
      <alignment horizontal="right"/>
      <protection/>
    </xf>
    <xf numFmtId="0" fontId="0" fillId="38" borderId="0" xfId="0" applyFill="1" applyBorder="1" applyAlignment="1" applyProtection="1">
      <alignment/>
      <protection/>
    </xf>
    <xf numFmtId="2" fontId="0" fillId="38" borderId="0" xfId="0" applyNumberFormat="1" applyFont="1" applyFill="1" applyBorder="1" applyAlignment="1" applyProtection="1">
      <alignment horizontal="left"/>
      <protection/>
    </xf>
    <xf numFmtId="2" fontId="0" fillId="38" borderId="0" xfId="0" applyNumberFormat="1" applyFill="1" applyBorder="1" applyAlignment="1" applyProtection="1">
      <alignment horizontal="left"/>
      <protection/>
    </xf>
    <xf numFmtId="4" fontId="0" fillId="36" borderId="10" xfId="0" applyNumberFormat="1" applyFill="1" applyBorder="1" applyAlignment="1" applyProtection="1">
      <alignment vertical="center"/>
      <protection/>
    </xf>
    <xf numFmtId="4" fontId="0" fillId="36" borderId="20" xfId="0" applyNumberFormat="1" applyFill="1" applyBorder="1" applyAlignment="1" applyProtection="1">
      <alignment vertical="center"/>
      <protection/>
    </xf>
    <xf numFmtId="0" fontId="17" fillId="38" borderId="32" xfId="0" applyFont="1" applyFill="1" applyBorder="1" applyAlignment="1" applyProtection="1">
      <alignment/>
      <protection/>
    </xf>
    <xf numFmtId="3" fontId="17" fillId="38" borderId="11" xfId="0" applyNumberFormat="1" applyFont="1" applyFill="1" applyBorder="1" applyAlignment="1" applyProtection="1">
      <alignment/>
      <protection/>
    </xf>
    <xf numFmtId="0" fontId="17" fillId="38" borderId="11" xfId="0" applyFont="1" applyFill="1" applyBorder="1" applyAlignment="1" applyProtection="1">
      <alignment/>
      <protection/>
    </xf>
    <xf numFmtId="2" fontId="0" fillId="38" borderId="11" xfId="0" applyNumberFormat="1" applyFill="1" applyBorder="1" applyAlignment="1" applyProtection="1">
      <alignment horizontal="center" vertical="center"/>
      <protection/>
    </xf>
    <xf numFmtId="4" fontId="0" fillId="38" borderId="11" xfId="0" applyNumberFormat="1" applyFill="1" applyBorder="1" applyAlignment="1" applyProtection="1">
      <alignment vertical="center"/>
      <protection/>
    </xf>
    <xf numFmtId="4" fontId="0" fillId="38" borderId="33" xfId="0" applyNumberFormat="1" applyFill="1" applyBorder="1" applyAlignment="1" applyProtection="1">
      <alignment horizontal="right"/>
      <protection/>
    </xf>
    <xf numFmtId="3" fontId="0" fillId="33" borderId="14" xfId="0" applyNumberFormat="1" applyFill="1" applyBorder="1" applyAlignment="1" applyProtection="1">
      <alignment/>
      <protection locked="0"/>
    </xf>
    <xf numFmtId="3" fontId="0" fillId="33" borderId="22" xfId="0" applyNumberFormat="1" applyFill="1" applyBorder="1" applyAlignment="1" applyProtection="1">
      <alignment/>
      <protection locked="0"/>
    </xf>
    <xf numFmtId="3" fontId="88" fillId="33" borderId="0" xfId="45" applyNumberFormat="1" applyFill="1" applyBorder="1" applyAlignment="1" applyProtection="1">
      <alignment/>
      <protection/>
    </xf>
    <xf numFmtId="0" fontId="3" fillId="33" borderId="28" xfId="73" applyFont="1" applyFill="1" applyBorder="1" applyAlignment="1" applyProtection="1">
      <alignment horizontal="left" vertical="center"/>
      <protection locked="0"/>
    </xf>
    <xf numFmtId="3" fontId="17" fillId="33" borderId="10" xfId="0" applyNumberFormat="1" applyFont="1" applyFill="1" applyBorder="1" applyAlignment="1" applyProtection="1">
      <alignment/>
      <protection locked="0"/>
    </xf>
    <xf numFmtId="2" fontId="97" fillId="36" borderId="10" xfId="0" applyNumberFormat="1" applyFont="1" applyFill="1" applyBorder="1" applyAlignment="1" applyProtection="1">
      <alignment horizontal="center" vertical="center"/>
      <protection/>
    </xf>
    <xf numFmtId="4" fontId="97" fillId="36" borderId="14" xfId="0" applyNumberFormat="1" applyFont="1" applyFill="1" applyBorder="1" applyAlignment="1" applyProtection="1">
      <alignment vertical="center"/>
      <protection/>
    </xf>
    <xf numFmtId="166" fontId="97" fillId="36" borderId="50" xfId="0" applyNumberFormat="1" applyFont="1" applyFill="1" applyBorder="1" applyAlignment="1" applyProtection="1">
      <alignment/>
      <protection/>
    </xf>
    <xf numFmtId="0" fontId="0" fillId="40" borderId="24" xfId="0" applyFill="1" applyBorder="1" applyAlignment="1" applyProtection="1">
      <alignment/>
      <protection/>
    </xf>
    <xf numFmtId="3" fontId="0" fillId="40" borderId="0" xfId="0" applyNumberFormat="1" applyFill="1" applyBorder="1" applyAlignment="1" applyProtection="1">
      <alignment/>
      <protection/>
    </xf>
    <xf numFmtId="0" fontId="0" fillId="40" borderId="26" xfId="0" applyFill="1" applyBorder="1" applyAlignment="1" applyProtection="1">
      <alignment/>
      <protection/>
    </xf>
    <xf numFmtId="3" fontId="0" fillId="40" borderId="12" xfId="0" applyNumberFormat="1" applyFill="1" applyBorder="1" applyAlignment="1" applyProtection="1">
      <alignment/>
      <protection/>
    </xf>
    <xf numFmtId="2" fontId="0" fillId="40" borderId="0" xfId="0" applyNumberFormat="1" applyFill="1" applyBorder="1" applyAlignment="1" applyProtection="1">
      <alignment horizontal="center" vertical="center"/>
      <protection/>
    </xf>
    <xf numFmtId="4" fontId="0" fillId="40" borderId="0" xfId="0" applyNumberFormat="1" applyFill="1" applyBorder="1" applyAlignment="1" applyProtection="1">
      <alignment vertical="center"/>
      <protection/>
    </xf>
    <xf numFmtId="0" fontId="0" fillId="40" borderId="17" xfId="0" applyFill="1" applyBorder="1" applyAlignment="1" applyProtection="1">
      <alignment/>
      <protection/>
    </xf>
    <xf numFmtId="0" fontId="3" fillId="40" borderId="0" xfId="69" applyFont="1" applyFill="1" applyBorder="1" applyAlignment="1" applyProtection="1">
      <alignment horizontal="center" vertical="center"/>
      <protection/>
    </xf>
    <xf numFmtId="0" fontId="3" fillId="40" borderId="28" xfId="69" applyFont="1" applyFill="1" applyBorder="1" applyAlignment="1" applyProtection="1">
      <alignment horizontal="center" vertical="center"/>
      <protection/>
    </xf>
    <xf numFmtId="0" fontId="3" fillId="33" borderId="38" xfId="69" applyFont="1" applyFill="1" applyBorder="1" applyAlignment="1" applyProtection="1">
      <alignment horizontal="center" vertical="center"/>
      <protection/>
    </xf>
    <xf numFmtId="0" fontId="5" fillId="36" borderId="10" xfId="69" applyFont="1" applyFill="1" applyBorder="1" applyAlignment="1" applyProtection="1">
      <alignment horizontal="center" vertical="center"/>
      <protection/>
    </xf>
    <xf numFmtId="0" fontId="12" fillId="36" borderId="10" xfId="69" applyFont="1" applyFill="1" applyBorder="1" applyAlignment="1" applyProtection="1">
      <alignment horizontal="center" vertical="center"/>
      <protection/>
    </xf>
    <xf numFmtId="3" fontId="3" fillId="33" borderId="0" xfId="69" applyNumberFormat="1" applyFont="1" applyFill="1" applyBorder="1" applyAlignment="1" applyProtection="1">
      <alignment horizontal="center" vertical="center"/>
      <protection/>
    </xf>
    <xf numFmtId="0" fontId="12" fillId="33" borderId="0" xfId="69" applyFont="1" applyFill="1" applyBorder="1" applyAlignment="1" applyProtection="1">
      <alignment horizontal="center" vertical="center"/>
      <protection/>
    </xf>
    <xf numFmtId="167" fontId="38" fillId="33" borderId="51" xfId="69" applyNumberFormat="1" applyFont="1" applyFill="1" applyBorder="1" applyAlignment="1" applyProtection="1">
      <alignment horizontal="center" vertical="center"/>
      <protection/>
    </xf>
    <xf numFmtId="167" fontId="38" fillId="33" borderId="52" xfId="69" applyNumberFormat="1" applyFont="1" applyFill="1" applyBorder="1" applyAlignment="1" applyProtection="1">
      <alignment horizontal="center" vertical="center"/>
      <protection/>
    </xf>
    <xf numFmtId="10" fontId="133" fillId="33" borderId="53" xfId="0" applyNumberFormat="1" applyFont="1" applyFill="1" applyBorder="1" applyAlignment="1" applyProtection="1">
      <alignment horizontal="center"/>
      <protection/>
    </xf>
    <xf numFmtId="167" fontId="38" fillId="33" borderId="54" xfId="69" applyNumberFormat="1" applyFont="1" applyFill="1" applyBorder="1" applyAlignment="1" applyProtection="1">
      <alignment horizontal="center" vertical="center"/>
      <protection/>
    </xf>
    <xf numFmtId="167" fontId="38" fillId="33" borderId="55" xfId="69" applyNumberFormat="1" applyFont="1" applyFill="1" applyBorder="1" applyAlignment="1" applyProtection="1">
      <alignment horizontal="center" vertical="center"/>
      <protection/>
    </xf>
    <xf numFmtId="0" fontId="133" fillId="33" borderId="56" xfId="0" applyFont="1" applyFill="1" applyBorder="1" applyAlignment="1" applyProtection="1">
      <alignment horizontal="center"/>
      <protection/>
    </xf>
    <xf numFmtId="167" fontId="38" fillId="33" borderId="29" xfId="69" applyNumberFormat="1" applyFont="1" applyFill="1" applyBorder="1" applyAlignment="1" applyProtection="1">
      <alignment horizontal="center" vertical="center"/>
      <protection/>
    </xf>
    <xf numFmtId="167" fontId="38" fillId="33" borderId="12" xfId="69" applyNumberFormat="1" applyFont="1" applyFill="1" applyBorder="1" applyAlignment="1" applyProtection="1">
      <alignment horizontal="center" vertical="center"/>
      <protection/>
    </xf>
    <xf numFmtId="10" fontId="133" fillId="33" borderId="30" xfId="0" applyNumberFormat="1" applyFont="1" applyFill="1" applyBorder="1" applyAlignment="1" applyProtection="1">
      <alignment horizontal="center"/>
      <protection/>
    </xf>
    <xf numFmtId="0" fontId="11" fillId="39" borderId="32" xfId="69" applyFont="1" applyFill="1" applyBorder="1" applyAlignment="1" applyProtection="1">
      <alignment horizontal="center" vertical="center"/>
      <protection/>
    </xf>
    <xf numFmtId="0" fontId="3" fillId="39" borderId="11" xfId="69" applyFont="1" applyFill="1" applyBorder="1" applyAlignment="1" applyProtection="1">
      <alignment horizontal="center" vertical="center"/>
      <protection/>
    </xf>
    <xf numFmtId="0" fontId="3" fillId="39" borderId="33" xfId="69" applyFont="1" applyFill="1" applyBorder="1" applyAlignment="1" applyProtection="1">
      <alignment horizontal="center" vertical="center"/>
      <protection/>
    </xf>
    <xf numFmtId="3" fontId="126" fillId="33" borderId="0" xfId="0" applyNumberFormat="1" applyFont="1" applyFill="1" applyBorder="1" applyAlignment="1">
      <alignment/>
    </xf>
    <xf numFmtId="0" fontId="3" fillId="40" borderId="19" xfId="69" applyFont="1" applyFill="1" applyBorder="1" applyAlignment="1" applyProtection="1">
      <alignment horizontal="center" vertical="center"/>
      <protection/>
    </xf>
    <xf numFmtId="0" fontId="134" fillId="40" borderId="10" xfId="0" applyFont="1" applyFill="1" applyBorder="1" applyAlignment="1" applyProtection="1">
      <alignment horizontal="center"/>
      <protection/>
    </xf>
    <xf numFmtId="3" fontId="3" fillId="40" borderId="10" xfId="72" applyNumberFormat="1" applyFont="1" applyFill="1" applyBorder="1" applyAlignment="1" applyProtection="1">
      <alignment horizontal="center" vertical="center"/>
      <protection/>
    </xf>
    <xf numFmtId="3" fontId="3" fillId="40" borderId="10" xfId="69" applyNumberFormat="1" applyFont="1" applyFill="1" applyBorder="1" applyAlignment="1" applyProtection="1">
      <alignment horizontal="center" vertical="center"/>
      <protection/>
    </xf>
    <xf numFmtId="166" fontId="3" fillId="40" borderId="10" xfId="69" applyNumberFormat="1" applyFont="1" applyFill="1" applyBorder="1" applyAlignment="1" applyProtection="1">
      <alignment horizontal="center" vertical="center"/>
      <protection/>
    </xf>
    <xf numFmtId="3" fontId="12" fillId="40" borderId="10" xfId="72" applyNumberFormat="1" applyFont="1" applyFill="1" applyBorder="1" applyAlignment="1" applyProtection="1">
      <alignment horizontal="center" vertical="center"/>
      <protection/>
    </xf>
    <xf numFmtId="3" fontId="134" fillId="40" borderId="10" xfId="53" applyNumberFormat="1" applyFont="1" applyFill="1" applyBorder="1" applyAlignment="1" applyProtection="1">
      <alignment horizontal="center"/>
      <protection/>
    </xf>
    <xf numFmtId="3" fontId="12" fillId="40" borderId="10" xfId="69" applyNumberFormat="1" applyFont="1" applyFill="1" applyBorder="1" applyAlignment="1" applyProtection="1">
      <alignment horizontal="center" vertical="center"/>
      <protection/>
    </xf>
    <xf numFmtId="0" fontId="63" fillId="33" borderId="15" xfId="69" applyFont="1" applyFill="1" applyBorder="1" applyAlignment="1" applyProtection="1">
      <alignment horizontal="center" vertical="center"/>
      <protection/>
    </xf>
    <xf numFmtId="0" fontId="64" fillId="33" borderId="28" xfId="69" applyFont="1" applyFill="1" applyBorder="1" applyAlignment="1" applyProtection="1">
      <alignment horizontal="center" vertical="center"/>
      <protection/>
    </xf>
    <xf numFmtId="0" fontId="65" fillId="33" borderId="36" xfId="69" applyFont="1" applyFill="1" applyBorder="1" applyAlignment="1" applyProtection="1">
      <alignment horizontal="center" vertical="center"/>
      <protection/>
    </xf>
    <xf numFmtId="0" fontId="65" fillId="33" borderId="28" xfId="69" applyFont="1" applyFill="1" applyBorder="1" applyAlignment="1" applyProtection="1">
      <alignment horizontal="center" vertical="center"/>
      <protection/>
    </xf>
    <xf numFmtId="0" fontId="135" fillId="33" borderId="21" xfId="0" applyFont="1" applyFill="1" applyBorder="1" applyAlignment="1" applyProtection="1">
      <alignment/>
      <protection/>
    </xf>
    <xf numFmtId="0" fontId="88" fillId="33" borderId="12" xfId="45" applyFill="1" applyBorder="1" applyAlignment="1" applyProtection="1">
      <alignment/>
      <protection/>
    </xf>
    <xf numFmtId="0" fontId="136" fillId="41" borderId="0" xfId="0" applyFont="1" applyFill="1" applyAlignment="1">
      <alignment horizontal="center"/>
    </xf>
    <xf numFmtId="0" fontId="130" fillId="33" borderId="0" xfId="0" applyFont="1" applyFill="1" applyBorder="1" applyAlignment="1">
      <alignment horizontal="center"/>
    </xf>
    <xf numFmtId="0" fontId="97" fillId="33" borderId="0" xfId="0" applyFont="1" applyFill="1" applyAlignment="1" applyProtection="1">
      <alignment horizontal="center"/>
      <protection/>
    </xf>
    <xf numFmtId="0" fontId="8" fillId="33" borderId="0" xfId="69" applyFont="1" applyFill="1" applyBorder="1" applyAlignment="1" applyProtection="1">
      <alignment horizontal="right" vertical="center"/>
      <protection/>
    </xf>
    <xf numFmtId="0" fontId="8" fillId="33" borderId="23" xfId="69" applyFont="1" applyFill="1" applyBorder="1" applyAlignment="1" applyProtection="1">
      <alignment horizontal="center" vertical="center"/>
      <protection/>
    </xf>
    <xf numFmtId="165" fontId="8" fillId="33" borderId="10" xfId="69" applyNumberFormat="1" applyFont="1" applyFill="1" applyBorder="1" applyAlignment="1" applyProtection="1">
      <alignment horizontal="center" vertical="center"/>
      <protection/>
    </xf>
    <xf numFmtId="167" fontId="8" fillId="33" borderId="10" xfId="69" applyNumberFormat="1" applyFont="1" applyFill="1" applyBorder="1" applyAlignment="1" applyProtection="1">
      <alignment horizontal="right" vertical="center"/>
      <protection/>
    </xf>
    <xf numFmtId="167" fontId="8" fillId="33" borderId="49" xfId="69" applyNumberFormat="1" applyFont="1" applyFill="1" applyBorder="1" applyAlignment="1" applyProtection="1">
      <alignment horizontal="right" vertical="center"/>
      <protection/>
    </xf>
    <xf numFmtId="0" fontId="3" fillId="33" borderId="23" xfId="69" applyFont="1" applyFill="1" applyBorder="1" applyAlignment="1" applyProtection="1">
      <alignment horizontal="left" vertical="center"/>
      <protection/>
    </xf>
    <xf numFmtId="0" fontId="0" fillId="33" borderId="39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2" fillId="33" borderId="39" xfId="64" applyFont="1" applyFill="1" applyBorder="1" applyAlignment="1">
      <alignment horizontal="center"/>
      <protection/>
    </xf>
    <xf numFmtId="0" fontId="2" fillId="33" borderId="23" xfId="64" applyFont="1" applyFill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30" fillId="33" borderId="0" xfId="0" applyFont="1" applyFill="1" applyBorder="1" applyAlignment="1">
      <alignment horizontal="center" vertical="center"/>
    </xf>
    <xf numFmtId="0" fontId="97" fillId="33" borderId="0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64" fontId="17" fillId="33" borderId="39" xfId="0" applyNumberFormat="1" applyFont="1" applyFill="1" applyBorder="1" applyAlignment="1">
      <alignment horizontal="center"/>
    </xf>
    <xf numFmtId="164" fontId="17" fillId="33" borderId="49" xfId="0" applyNumberFormat="1" applyFont="1" applyFill="1" applyBorder="1" applyAlignment="1">
      <alignment horizontal="center"/>
    </xf>
    <xf numFmtId="164" fontId="0" fillId="33" borderId="39" xfId="0" applyNumberFormat="1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2" fillId="33" borderId="49" xfId="64" applyFont="1" applyFill="1" applyBorder="1" applyAlignment="1">
      <alignment horizontal="center"/>
      <protection/>
    </xf>
    <xf numFmtId="0" fontId="137" fillId="41" borderId="0" xfId="0" applyFont="1" applyFill="1" applyAlignment="1">
      <alignment horizontal="center"/>
    </xf>
    <xf numFmtId="0" fontId="136" fillId="41" borderId="0" xfId="0" applyFont="1" applyFill="1" applyAlignment="1">
      <alignment horizontal="center"/>
    </xf>
    <xf numFmtId="0" fontId="138" fillId="41" borderId="0" xfId="0" applyFont="1" applyFill="1" applyAlignment="1">
      <alignment horizontal="center" vertical="center"/>
    </xf>
    <xf numFmtId="41" fontId="82" fillId="44" borderId="57" xfId="47" applyNumberFormat="1" applyFont="1" applyFill="1" applyBorder="1" applyAlignment="1" applyProtection="1">
      <alignment horizontal="center" vertical="center"/>
      <protection locked="0"/>
    </xf>
    <xf numFmtId="41" fontId="82" fillId="44" borderId="58" xfId="47" applyNumberFormat="1" applyFont="1" applyFill="1" applyBorder="1" applyAlignment="1" applyProtection="1">
      <alignment horizontal="center" vertical="center"/>
      <protection locked="0"/>
    </xf>
    <xf numFmtId="5" fontId="139" fillId="33" borderId="59" xfId="47" applyNumberFormat="1" applyFont="1" applyFill="1" applyBorder="1" applyAlignment="1" applyProtection="1">
      <alignment horizontal="center" vertical="center"/>
      <protection locked="0"/>
    </xf>
    <xf numFmtId="5" fontId="139" fillId="33" borderId="60" xfId="47" applyNumberFormat="1" applyFont="1" applyFill="1" applyBorder="1" applyAlignment="1" applyProtection="1">
      <alignment horizontal="center" vertical="center"/>
      <protection locked="0"/>
    </xf>
    <xf numFmtId="41" fontId="139" fillId="45" borderId="32" xfId="47" applyNumberFormat="1" applyFont="1" applyFill="1" applyBorder="1" applyAlignment="1" applyProtection="1">
      <alignment horizontal="center" vertical="center"/>
      <protection/>
    </xf>
    <xf numFmtId="41" fontId="139" fillId="45" borderId="33" xfId="47" applyNumberFormat="1" applyFont="1" applyFill="1" applyBorder="1" applyAlignment="1" applyProtection="1">
      <alignment horizontal="center" vertical="center"/>
      <protection/>
    </xf>
    <xf numFmtId="165" fontId="0" fillId="34" borderId="61" xfId="0" applyNumberFormat="1" applyFill="1" applyBorder="1" applyAlignment="1" applyProtection="1">
      <alignment horizontal="center"/>
      <protection/>
    </xf>
    <xf numFmtId="165" fontId="0" fillId="34" borderId="62" xfId="0" applyNumberFormat="1" applyFill="1" applyBorder="1" applyAlignment="1" applyProtection="1">
      <alignment horizontal="center"/>
      <protection/>
    </xf>
    <xf numFmtId="5" fontId="83" fillId="34" borderId="63" xfId="47" applyNumberFormat="1" applyFont="1" applyFill="1" applyBorder="1" applyAlignment="1" applyProtection="1">
      <alignment horizontal="center" vertical="center"/>
      <protection/>
    </xf>
    <xf numFmtId="5" fontId="83" fillId="34" borderId="45" xfId="47" applyNumberFormat="1" applyFont="1" applyFill="1" applyBorder="1" applyAlignment="1" applyProtection="1">
      <alignment horizontal="center" vertical="center"/>
      <protection/>
    </xf>
    <xf numFmtId="0" fontId="140" fillId="33" borderId="12" xfId="45" applyFont="1" applyFill="1" applyBorder="1" applyAlignment="1" applyProtection="1">
      <alignment horizontal="center" vertical="center"/>
      <protection/>
    </xf>
    <xf numFmtId="0" fontId="10" fillId="33" borderId="12" xfId="69" applyFont="1" applyFill="1" applyBorder="1" applyAlignment="1" applyProtection="1">
      <alignment horizontal="center" vertical="center"/>
      <protection/>
    </xf>
    <xf numFmtId="0" fontId="11" fillId="38" borderId="32" xfId="69" applyFont="1" applyFill="1" applyBorder="1" applyAlignment="1" applyProtection="1">
      <alignment horizontal="right" vertical="center"/>
      <protection/>
    </xf>
    <xf numFmtId="0" fontId="11" fillId="38" borderId="11" xfId="69" applyFont="1" applyFill="1" applyBorder="1" applyAlignment="1" applyProtection="1">
      <alignment horizontal="right" vertical="center"/>
      <protection/>
    </xf>
    <xf numFmtId="0" fontId="38" fillId="33" borderId="28" xfId="69" applyFont="1" applyFill="1" applyBorder="1" applyAlignment="1" applyProtection="1">
      <alignment horizontal="left" vertical="center" wrapText="1"/>
      <protection/>
    </xf>
    <xf numFmtId="0" fontId="11" fillId="38" borderId="24" xfId="69" applyFont="1" applyFill="1" applyBorder="1" applyAlignment="1" applyProtection="1">
      <alignment horizontal="center" vertical="center"/>
      <protection/>
    </xf>
    <xf numFmtId="0" fontId="11" fillId="38" borderId="0" xfId="69" applyFont="1" applyFill="1" applyBorder="1" applyAlignment="1" applyProtection="1">
      <alignment horizontal="center" vertical="center"/>
      <protection/>
    </xf>
    <xf numFmtId="0" fontId="4" fillId="33" borderId="32" xfId="69" applyFont="1" applyFill="1" applyBorder="1" applyAlignment="1" applyProtection="1">
      <alignment horizontal="right" vertical="center"/>
      <protection/>
    </xf>
    <xf numFmtId="0" fontId="4" fillId="33" borderId="11" xfId="69" applyFont="1" applyFill="1" applyBorder="1" applyAlignment="1" applyProtection="1">
      <alignment horizontal="right" vertical="center"/>
      <protection/>
    </xf>
    <xf numFmtId="0" fontId="4" fillId="33" borderId="26" xfId="69" applyFont="1" applyFill="1" applyBorder="1" applyAlignment="1" applyProtection="1">
      <alignment horizontal="right" vertical="center"/>
      <protection/>
    </xf>
    <xf numFmtId="0" fontId="4" fillId="33" borderId="12" xfId="69" applyFont="1" applyFill="1" applyBorder="1" applyAlignment="1" applyProtection="1">
      <alignment horizontal="right" vertical="center"/>
      <protection/>
    </xf>
    <xf numFmtId="0" fontId="110" fillId="38" borderId="0" xfId="69" applyFont="1" applyFill="1" applyBorder="1" applyAlignment="1" applyProtection="1">
      <alignment horizontal="center" vertical="center"/>
      <protection/>
    </xf>
    <xf numFmtId="0" fontId="110" fillId="38" borderId="17" xfId="69" applyFont="1" applyFill="1" applyBorder="1" applyAlignment="1" applyProtection="1">
      <alignment horizontal="center" vertical="center"/>
      <protection/>
    </xf>
    <xf numFmtId="0" fontId="110" fillId="38" borderId="12" xfId="69" applyFont="1" applyFill="1" applyBorder="1" applyAlignment="1" applyProtection="1">
      <alignment horizontal="center" vertical="center"/>
      <protection/>
    </xf>
    <xf numFmtId="0" fontId="110" fillId="38" borderId="18" xfId="69" applyFont="1" applyFill="1" applyBorder="1" applyAlignment="1" applyProtection="1">
      <alignment horizontal="center" vertical="center"/>
      <protection/>
    </xf>
    <xf numFmtId="168" fontId="50" fillId="38" borderId="11" xfId="47" applyNumberFormat="1" applyFont="1" applyFill="1" applyBorder="1" applyAlignment="1" applyProtection="1">
      <alignment horizontal="left" vertical="center"/>
      <protection/>
    </xf>
    <xf numFmtId="168" fontId="50" fillId="38" borderId="33" xfId="47" applyNumberFormat="1" applyFont="1" applyFill="1" applyBorder="1" applyAlignment="1" applyProtection="1">
      <alignment horizontal="left" vertical="center"/>
      <protection/>
    </xf>
    <xf numFmtId="0" fontId="11" fillId="38" borderId="26" xfId="69" applyFont="1" applyFill="1" applyBorder="1" applyAlignment="1" applyProtection="1">
      <alignment horizontal="right" vertical="center"/>
      <protection/>
    </xf>
    <xf numFmtId="0" fontId="11" fillId="38" borderId="12" xfId="69" applyFont="1" applyFill="1" applyBorder="1" applyAlignment="1" applyProtection="1">
      <alignment horizontal="right" vertical="center"/>
      <protection/>
    </xf>
    <xf numFmtId="0" fontId="3" fillId="33" borderId="11" xfId="69" applyFont="1" applyFill="1" applyBorder="1" applyAlignment="1" applyProtection="1">
      <alignment horizontal="center" vertical="center"/>
      <protection/>
    </xf>
    <xf numFmtId="0" fontId="3" fillId="33" borderId="33" xfId="69" applyFont="1" applyFill="1" applyBorder="1" applyAlignment="1" applyProtection="1">
      <alignment horizontal="center" vertical="center"/>
      <protection/>
    </xf>
    <xf numFmtId="0" fontId="3" fillId="33" borderId="0" xfId="69" applyFont="1" applyFill="1" applyBorder="1" applyAlignment="1" applyProtection="1">
      <alignment horizontal="center" vertical="center"/>
      <protection/>
    </xf>
    <xf numFmtId="0" fontId="7" fillId="33" borderId="0" xfId="69" applyFont="1" applyFill="1" applyBorder="1" applyAlignment="1" applyProtection="1">
      <alignment horizontal="left" vertical="center"/>
      <protection/>
    </xf>
    <xf numFmtId="0" fontId="38" fillId="33" borderId="39" xfId="69" applyFont="1" applyFill="1" applyBorder="1" applyAlignment="1" applyProtection="1">
      <alignment horizontal="center" vertical="center"/>
      <protection/>
    </xf>
    <xf numFmtId="0" fontId="38" fillId="33" borderId="23" xfId="69" applyFont="1" applyFill="1" applyBorder="1" applyAlignment="1" applyProtection="1">
      <alignment horizontal="center" vertical="center"/>
      <protection/>
    </xf>
    <xf numFmtId="0" fontId="101" fillId="33" borderId="12" xfId="69" applyFont="1" applyFill="1" applyBorder="1" applyAlignment="1" applyProtection="1">
      <alignment horizontal="center" vertical="center"/>
      <protection/>
    </xf>
    <xf numFmtId="0" fontId="101" fillId="33" borderId="18" xfId="69" applyFont="1" applyFill="1" applyBorder="1" applyAlignment="1" applyProtection="1">
      <alignment horizontal="center" vertical="center"/>
      <protection/>
    </xf>
    <xf numFmtId="0" fontId="127" fillId="33" borderId="0" xfId="45" applyFont="1" applyFill="1" applyAlignment="1" applyProtection="1">
      <alignment horizontal="center" vertical="center"/>
      <protection/>
    </xf>
    <xf numFmtId="0" fontId="38" fillId="33" borderId="37" xfId="69" applyFont="1" applyFill="1" applyBorder="1" applyAlignment="1" applyProtection="1">
      <alignment horizontal="left" vertical="center" wrapText="1"/>
      <protection/>
    </xf>
    <xf numFmtId="0" fontId="38" fillId="33" borderId="37" xfId="69" applyFont="1" applyFill="1" applyBorder="1" applyAlignment="1" applyProtection="1">
      <alignment horizontal="left" vertical="center"/>
      <protection/>
    </xf>
    <xf numFmtId="0" fontId="38" fillId="33" borderId="0" xfId="69" applyFont="1" applyFill="1" applyBorder="1" applyAlignment="1" applyProtection="1">
      <alignment horizontal="left" vertical="center"/>
      <protection/>
    </xf>
  </cellXfs>
  <cellStyles count="32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Normal 10" xfId="52"/>
    <cellStyle name="Normal 10 2" xfId="53"/>
    <cellStyle name="Normal 10 3" xfId="54"/>
    <cellStyle name="Normal 10 3 2" xfId="55"/>
    <cellStyle name="Normal 10 4" xfId="56"/>
    <cellStyle name="Normal 10 5" xfId="57"/>
    <cellStyle name="Normal 11" xfId="58"/>
    <cellStyle name="Normal 11 2" xfId="59"/>
    <cellStyle name="Normal 11 3" xfId="60"/>
    <cellStyle name="Normal 11 4" xfId="61"/>
    <cellStyle name="Normal 12" xfId="62"/>
    <cellStyle name="Normal 12 2" xfId="63"/>
    <cellStyle name="Normal 13" xfId="64"/>
    <cellStyle name="Normal 13 2" xfId="65"/>
    <cellStyle name="Normal 14" xfId="66"/>
    <cellStyle name="Normal 14 2" xfId="67"/>
    <cellStyle name="Normal 14 3" xfId="68"/>
    <cellStyle name="Normal 2" xfId="69"/>
    <cellStyle name="Normal 2 10" xfId="70"/>
    <cellStyle name="Normal 2 11" xfId="71"/>
    <cellStyle name="Normal 2 12" xfId="72"/>
    <cellStyle name="Normal 2 12 2" xfId="73"/>
    <cellStyle name="Normal 2 2" xfId="74"/>
    <cellStyle name="Normal 2 2 10" xfId="75"/>
    <cellStyle name="Normal 2 2 2" xfId="76"/>
    <cellStyle name="Normal 2 2 2 2" xfId="77"/>
    <cellStyle name="Normal 2 2 2 2 2" xfId="78"/>
    <cellStyle name="Normal 2 2 2 2 2 2" xfId="79"/>
    <cellStyle name="Normal 2 2 2 2 3" xfId="80"/>
    <cellStyle name="Normal 2 2 2 2 4" xfId="81"/>
    <cellStyle name="Normal 2 2 2 2 5" xfId="82"/>
    <cellStyle name="Normal 2 2 2 3" xfId="83"/>
    <cellStyle name="Normal 2 2 2 3 2" xfId="84"/>
    <cellStyle name="Normal 2 2 2 4" xfId="85"/>
    <cellStyle name="Normal 2 2 2 5" xfId="86"/>
    <cellStyle name="Normal 2 2 2 6" xfId="87"/>
    <cellStyle name="Normal 2 2 3" xfId="88"/>
    <cellStyle name="Normal 2 2 3 2" xfId="89"/>
    <cellStyle name="Normal 2 2 3 2 2" xfId="90"/>
    <cellStyle name="Normal 2 2 3 3" xfId="91"/>
    <cellStyle name="Normal 2 2 3 4" xfId="92"/>
    <cellStyle name="Normal 2 2 3 5" xfId="93"/>
    <cellStyle name="Normal 2 2 4" xfId="94"/>
    <cellStyle name="Normal 2 2 4 2" xfId="95"/>
    <cellStyle name="Normal 2 2 4 3" xfId="96"/>
    <cellStyle name="Normal 2 2 4 4" xfId="97"/>
    <cellStyle name="Normal 2 2 4 5" xfId="98"/>
    <cellStyle name="Normal 2 2 5" xfId="99"/>
    <cellStyle name="Normal 2 2 5 2" xfId="100"/>
    <cellStyle name="Normal 2 2 5 3" xfId="101"/>
    <cellStyle name="Normal 2 2 5 4" xfId="102"/>
    <cellStyle name="Normal 2 2 6" xfId="103"/>
    <cellStyle name="Normal 2 2 6 2" xfId="104"/>
    <cellStyle name="Normal 2 2 7" xfId="105"/>
    <cellStyle name="Normal 2 2 8" xfId="106"/>
    <cellStyle name="Normal 2 2 9" xfId="107"/>
    <cellStyle name="Normal 2 3" xfId="108"/>
    <cellStyle name="Normal 2 3 2" xfId="109"/>
    <cellStyle name="Normal 2 3 2 2" xfId="110"/>
    <cellStyle name="Normal 2 3 2 2 2" xfId="111"/>
    <cellStyle name="Normal 2 3 2 3" xfId="112"/>
    <cellStyle name="Normal 2 3 2 4" xfId="113"/>
    <cellStyle name="Normal 2 3 2 5" xfId="114"/>
    <cellStyle name="Normal 2 3 3" xfId="115"/>
    <cellStyle name="Normal 2 3 3 2" xfId="116"/>
    <cellStyle name="Normal 2 3 3 3" xfId="117"/>
    <cellStyle name="Normal 2 3 3 4" xfId="118"/>
    <cellStyle name="Normal 2 3 3 5" xfId="119"/>
    <cellStyle name="Normal 2 3 4" xfId="120"/>
    <cellStyle name="Normal 2 3 4 2" xfId="121"/>
    <cellStyle name="Normal 2 3 4 3" xfId="122"/>
    <cellStyle name="Normal 2 3 4 4" xfId="123"/>
    <cellStyle name="Normal 2 3 4 5" xfId="124"/>
    <cellStyle name="Normal 2 3 5" xfId="125"/>
    <cellStyle name="Normal 2 3 5 2" xfId="126"/>
    <cellStyle name="Normal 2 3 5 3" xfId="127"/>
    <cellStyle name="Normal 2 3 6" xfId="128"/>
    <cellStyle name="Normal 2 3 7" xfId="129"/>
    <cellStyle name="Normal 2 3 8" xfId="130"/>
    <cellStyle name="Normal 2 3 9" xfId="131"/>
    <cellStyle name="Normal 2 4" xfId="132"/>
    <cellStyle name="Normal 2 4 2" xfId="133"/>
    <cellStyle name="Normal 2 4 2 2" xfId="134"/>
    <cellStyle name="Normal 2 4 2 3" xfId="135"/>
    <cellStyle name="Normal 2 4 2 4" xfId="136"/>
    <cellStyle name="Normal 2 4 3" xfId="137"/>
    <cellStyle name="Normal 2 4 4" xfId="138"/>
    <cellStyle name="Normal 2 4 5" xfId="139"/>
    <cellStyle name="Normal 2 5" xfId="140"/>
    <cellStyle name="Normal 2 5 2" xfId="141"/>
    <cellStyle name="Normal 2 5 2 2" xfId="142"/>
    <cellStyle name="Normal 2 5 3" xfId="143"/>
    <cellStyle name="Normal 2 5 4" xfId="144"/>
    <cellStyle name="Normal 2 6" xfId="145"/>
    <cellStyle name="Normal 2 6 2" xfId="146"/>
    <cellStyle name="Normal 2 7" xfId="147"/>
    <cellStyle name="Normal 2 8" xfId="148"/>
    <cellStyle name="Normal 2 9" xfId="149"/>
    <cellStyle name="Normal 2_Info-Client" xfId="150"/>
    <cellStyle name="Normal 3" xfId="151"/>
    <cellStyle name="Normal 3 2" xfId="152"/>
    <cellStyle name="Normal 3 2 2" xfId="153"/>
    <cellStyle name="Normal 3 2 2 2" xfId="154"/>
    <cellStyle name="Normal 3 2 3" xfId="155"/>
    <cellStyle name="Normal 3 2 4" xfId="156"/>
    <cellStyle name="Normal 3 2 5" xfId="157"/>
    <cellStyle name="Normal 3 3" xfId="158"/>
    <cellStyle name="Normal 3 3 2" xfId="159"/>
    <cellStyle name="Normal 3 3 3" xfId="160"/>
    <cellStyle name="Normal 3 3 4" xfId="161"/>
    <cellStyle name="Normal 3 4" xfId="162"/>
    <cellStyle name="Normal 3 4 2" xfId="163"/>
    <cellStyle name="Normal 3 4 2 2" xfId="164"/>
    <cellStyle name="Normal 3 4 3" xfId="165"/>
    <cellStyle name="Normal 3 4 4" xfId="166"/>
    <cellStyle name="Normal 3 4 5" xfId="167"/>
    <cellStyle name="Normal 3 4 5 2" xfId="168"/>
    <cellStyle name="Normal 3 4 6" xfId="169"/>
    <cellStyle name="Normal 3 5" xfId="170"/>
    <cellStyle name="Normal 3 5 2" xfId="171"/>
    <cellStyle name="Normal 3 6" xfId="172"/>
    <cellStyle name="Normal 3 6 2" xfId="173"/>
    <cellStyle name="Normal 3 6 3" xfId="174"/>
    <cellStyle name="Normal 3 7" xfId="175"/>
    <cellStyle name="Normal 3 7 2" xfId="176"/>
    <cellStyle name="Normal 3 8" xfId="177"/>
    <cellStyle name="Normal 3 9" xfId="178"/>
    <cellStyle name="Normal 4" xfId="179"/>
    <cellStyle name="Normal 4 10" xfId="180"/>
    <cellStyle name="Normal 4 2" xfId="181"/>
    <cellStyle name="Normal 4 2 2" xfId="182"/>
    <cellStyle name="Normal 4 2 2 2" xfId="183"/>
    <cellStyle name="Normal 4 2 2 2 2" xfId="184"/>
    <cellStyle name="Normal 4 2 2 3" xfId="185"/>
    <cellStyle name="Normal 4 2 2 4" xfId="186"/>
    <cellStyle name="Normal 4 2 2 5" xfId="187"/>
    <cellStyle name="Normal 4 2 3" xfId="188"/>
    <cellStyle name="Normal 4 2 3 2" xfId="189"/>
    <cellStyle name="Normal 4 2 3 3" xfId="190"/>
    <cellStyle name="Normal 4 2 4" xfId="191"/>
    <cellStyle name="Normal 4 2 4 2" xfId="192"/>
    <cellStyle name="Normal 4 2 5" xfId="193"/>
    <cellStyle name="Normal 4 2 5 2" xfId="194"/>
    <cellStyle name="Normal 4 2 6" xfId="195"/>
    <cellStyle name="Normal 4 2 7" xfId="196"/>
    <cellStyle name="Normal 4 3" xfId="197"/>
    <cellStyle name="Normal 4 3 2" xfId="198"/>
    <cellStyle name="Normal 4 3 2 2" xfId="199"/>
    <cellStyle name="Normal 4 3 3" xfId="200"/>
    <cellStyle name="Normal 4 3 4" xfId="201"/>
    <cellStyle name="Normal 4 3 5" xfId="202"/>
    <cellStyle name="Normal 4 4" xfId="203"/>
    <cellStyle name="Normal 4 4 2" xfId="204"/>
    <cellStyle name="Normal 4 4 2 2" xfId="205"/>
    <cellStyle name="Normal 4 4 3" xfId="206"/>
    <cellStyle name="Normal 4 4 4" xfId="207"/>
    <cellStyle name="Normal 4 4 5" xfId="208"/>
    <cellStyle name="Normal 4 5" xfId="209"/>
    <cellStyle name="Normal 4 5 2" xfId="210"/>
    <cellStyle name="Normal 4 5 3" xfId="211"/>
    <cellStyle name="Normal 4 5 4" xfId="212"/>
    <cellStyle name="Normal 4 5 5" xfId="213"/>
    <cellStyle name="Normal 4 6" xfId="214"/>
    <cellStyle name="Normal 4 7" xfId="215"/>
    <cellStyle name="Normal 4 8" xfId="216"/>
    <cellStyle name="Normal 4 9" xfId="217"/>
    <cellStyle name="Normal 5" xfId="218"/>
    <cellStyle name="Normal 5 2" xfId="219"/>
    <cellStyle name="Normal 5 2 2" xfId="220"/>
    <cellStyle name="Normal 5 2 2 2" xfId="221"/>
    <cellStyle name="Normal 5 2 2 3" xfId="222"/>
    <cellStyle name="Normal 5 2 3" xfId="223"/>
    <cellStyle name="Normal 5 2 3 2" xfId="224"/>
    <cellStyle name="Normal 5 2 4" xfId="225"/>
    <cellStyle name="Normal 5 2 5" xfId="226"/>
    <cellStyle name="Normal 5 2 6" xfId="227"/>
    <cellStyle name="Normal 5 2 6 2" xfId="228"/>
    <cellStyle name="Normal 5 2 7" xfId="229"/>
    <cellStyle name="Normal 5 3" xfId="230"/>
    <cellStyle name="Normal 5 3 2" xfId="231"/>
    <cellStyle name="Normal 5 3 3" xfId="232"/>
    <cellStyle name="Normal 5 3 3 2" xfId="233"/>
    <cellStyle name="Normal 5 3 3 3" xfId="234"/>
    <cellStyle name="Normal 5 3 4" xfId="235"/>
    <cellStyle name="Normal 5 3 5" xfId="236"/>
    <cellStyle name="Normal 5 4" xfId="237"/>
    <cellStyle name="Normal 5 4 2" xfId="238"/>
    <cellStyle name="Normal 5 4 3" xfId="239"/>
    <cellStyle name="Normal 5 4 4" xfId="240"/>
    <cellStyle name="Normal 5 5" xfId="241"/>
    <cellStyle name="Normal 5 5 2" xfId="242"/>
    <cellStyle name="Normal 5 6" xfId="243"/>
    <cellStyle name="Normal 5 7" xfId="244"/>
    <cellStyle name="Normal 5 8" xfId="245"/>
    <cellStyle name="Normal 5 9" xfId="246"/>
    <cellStyle name="Normal 6" xfId="247"/>
    <cellStyle name="Normal 6 2" xfId="248"/>
    <cellStyle name="Normal 6 2 2" xfId="249"/>
    <cellStyle name="Normal 6 2 2 2" xfId="250"/>
    <cellStyle name="Normal 6 2 3" xfId="251"/>
    <cellStyle name="Normal 6 2 4" xfId="252"/>
    <cellStyle name="Normal 6 2 5" xfId="253"/>
    <cellStyle name="Normal 6 3" xfId="254"/>
    <cellStyle name="Normal 6 3 2" xfId="255"/>
    <cellStyle name="Normal 6 4" xfId="256"/>
    <cellStyle name="Normal 6 4 2" xfId="257"/>
    <cellStyle name="Normal 6 5" xfId="258"/>
    <cellStyle name="Normal 6 6" xfId="259"/>
    <cellStyle name="Normal 6 6 2" xfId="260"/>
    <cellStyle name="Normal 6 7" xfId="261"/>
    <cellStyle name="Normal 7" xfId="262"/>
    <cellStyle name="Normal 7 2" xfId="263"/>
    <cellStyle name="Normal 7 2 2" xfId="264"/>
    <cellStyle name="Normal 7 2 3" xfId="265"/>
    <cellStyle name="Normal 7 2 4" xfId="266"/>
    <cellStyle name="Normal 7 2 5" xfId="267"/>
    <cellStyle name="Normal 7 2 5 2" xfId="268"/>
    <cellStyle name="Normal 7 2 6" xfId="269"/>
    <cellStyle name="Normal 7 3" xfId="270"/>
    <cellStyle name="Normal 7 4" xfId="271"/>
    <cellStyle name="Normal 7 4 2" xfId="272"/>
    <cellStyle name="Normal 7 5" xfId="273"/>
    <cellStyle name="Normal 7 6" xfId="274"/>
    <cellStyle name="Normal 7 6 2" xfId="275"/>
    <cellStyle name="Normal 7 7" xfId="276"/>
    <cellStyle name="Normal 8" xfId="277"/>
    <cellStyle name="Normal 8 2" xfId="278"/>
    <cellStyle name="Normal 8 2 2" xfId="279"/>
    <cellStyle name="Normal 8 2 3" xfId="280"/>
    <cellStyle name="Normal 8 2 4" xfId="281"/>
    <cellStyle name="Normal 8 2 5" xfId="282"/>
    <cellStyle name="Normal 8 3" xfId="283"/>
    <cellStyle name="Normal 8 4" xfId="284"/>
    <cellStyle name="Normal 8 4 2" xfId="285"/>
    <cellStyle name="Normal 8 5" xfId="286"/>
    <cellStyle name="Normal 8 6" xfId="287"/>
    <cellStyle name="Normal 8 6 2" xfId="288"/>
    <cellStyle name="Normal 8 7" xfId="289"/>
    <cellStyle name="Normal 9" xfId="290"/>
    <cellStyle name="Normal 9 2" xfId="291"/>
    <cellStyle name="Normal 9 2 2" xfId="292"/>
    <cellStyle name="Normal 9 2 3" xfId="293"/>
    <cellStyle name="Normal 9 2 4" xfId="294"/>
    <cellStyle name="Normal 9 2 5" xfId="295"/>
    <cellStyle name="Normal 9 3" xfId="296"/>
    <cellStyle name="Normal 9 4" xfId="297"/>
    <cellStyle name="Normal 9 4 2" xfId="298"/>
    <cellStyle name="Normal 9 5" xfId="299"/>
    <cellStyle name="Normal 9 6" xfId="300"/>
    <cellStyle name="Normal 9 6 2" xfId="301"/>
    <cellStyle name="Normal 9 7" xfId="302"/>
    <cellStyle name="Percent" xfId="303"/>
    <cellStyle name="Pourcentage 2" xfId="304"/>
    <cellStyle name="Pourcentage 2 2" xfId="305"/>
    <cellStyle name="Pourcentage 2 2 2" xfId="306"/>
    <cellStyle name="Pourcentage 2 2 2 2" xfId="307"/>
    <cellStyle name="Pourcentage 2 2 2 2 2" xfId="308"/>
    <cellStyle name="Pourcentage 2 2 2 3" xfId="309"/>
    <cellStyle name="Pourcentage 2 2 3" xfId="310"/>
    <cellStyle name="Pourcentage 2 2 4" xfId="311"/>
    <cellStyle name="Pourcentage 2 2 4 2" xfId="312"/>
    <cellStyle name="Pourcentage 2 2 4 3" xfId="313"/>
    <cellStyle name="Pourcentage 2 2 5" xfId="314"/>
    <cellStyle name="Pourcentage 2 2 6" xfId="315"/>
    <cellStyle name="Pourcentage 2 2 7" xfId="316"/>
    <cellStyle name="Pourcentage 2 3" xfId="317"/>
    <cellStyle name="Pourcentage 2 3 2" xfId="318"/>
    <cellStyle name="Pourcentage 2 3 2 2" xfId="319"/>
    <cellStyle name="Pourcentage 2 3 3" xfId="320"/>
    <cellStyle name="Pourcentage 2 3 4" xfId="321"/>
    <cellStyle name="Pourcentage 2 4" xfId="322"/>
    <cellStyle name="Pourcentage 2 5" xfId="323"/>
    <cellStyle name="Pourcentage 2 5 2" xfId="324"/>
    <cellStyle name="Pourcentage 2 5 3" xfId="325"/>
    <cellStyle name="Pourcentage 2 5 4" xfId="326"/>
    <cellStyle name="Pourcentage 2 6" xfId="327"/>
    <cellStyle name="Pourcentage 2 6 2" xfId="328"/>
    <cellStyle name="Pourcentage 2 7" xfId="329"/>
    <cellStyle name="Pourcentage 3" xfId="330"/>
    <cellStyle name="Pourcentage 4" xfId="331"/>
    <cellStyle name="Satisfaisant" xfId="332"/>
    <cellStyle name="Sortie" xfId="333"/>
    <cellStyle name="Texte explicatif" xfId="334"/>
    <cellStyle name="Titre" xfId="335"/>
    <cellStyle name="Titre 1" xfId="336"/>
    <cellStyle name="Titre 2" xfId="337"/>
    <cellStyle name="Titre 3" xfId="338"/>
    <cellStyle name="Titre 4" xfId="339"/>
    <cellStyle name="Total" xfId="340"/>
    <cellStyle name="Vérification" xfId="341"/>
  </cellStyles>
  <dxfs count="2">
    <dxf>
      <font>
        <color theme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95250</xdr:rowOff>
    </xdr:from>
    <xdr:to>
      <xdr:col>2</xdr:col>
      <xdr:colOff>85725</xdr:colOff>
      <xdr:row>4</xdr:row>
      <xdr:rowOff>190500</xdr:rowOff>
    </xdr:to>
    <xdr:pic>
      <xdr:nvPicPr>
        <xdr:cNvPr id="1" name="Image 1" descr="logo-Ayis-Transitx5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250"/>
          <a:ext cx="676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1066800</xdr:colOff>
      <xdr:row>0</xdr:row>
      <xdr:rowOff>85725</xdr:rowOff>
    </xdr:from>
    <xdr:to>
      <xdr:col>9</xdr:col>
      <xdr:colOff>571500</xdr:colOff>
      <xdr:row>4</xdr:row>
      <xdr:rowOff>190500</xdr:rowOff>
    </xdr:to>
    <xdr:pic>
      <xdr:nvPicPr>
        <xdr:cNvPr id="2" name="Image 2" descr="logo-Ayis-Transitx5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85725"/>
          <a:ext cx="676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1323975</xdr:colOff>
      <xdr:row>3</xdr:row>
      <xdr:rowOff>200025</xdr:rowOff>
    </xdr:to>
    <xdr:pic>
      <xdr:nvPicPr>
        <xdr:cNvPr id="1" name="Image 1" descr="logo-Ayis-Trans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3239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22</xdr:row>
      <xdr:rowOff>95250</xdr:rowOff>
    </xdr:from>
    <xdr:to>
      <xdr:col>6</xdr:col>
      <xdr:colOff>752475</xdr:colOff>
      <xdr:row>22</xdr:row>
      <xdr:rowOff>104775</xdr:rowOff>
    </xdr:to>
    <xdr:sp>
      <xdr:nvSpPr>
        <xdr:cNvPr id="2" name="Connecteur droit avec flèche 5"/>
        <xdr:cNvSpPr>
          <a:spLocks/>
        </xdr:cNvSpPr>
      </xdr:nvSpPr>
      <xdr:spPr>
        <a:xfrm flipV="1">
          <a:off x="7172325" y="5429250"/>
          <a:ext cx="695325" cy="9525"/>
        </a:xfrm>
        <a:prstGeom prst="straightConnector1">
          <a:avLst/>
        </a:prstGeom>
        <a:noFill/>
        <a:ln w="254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114300</xdr:rowOff>
    </xdr:from>
    <xdr:to>
      <xdr:col>7</xdr:col>
      <xdr:colOff>704850</xdr:colOff>
      <xdr:row>20</xdr:row>
      <xdr:rowOff>114300</xdr:rowOff>
    </xdr:to>
    <xdr:sp>
      <xdr:nvSpPr>
        <xdr:cNvPr id="3" name="Connecteur droit avec flèche 4"/>
        <xdr:cNvSpPr>
          <a:spLocks/>
        </xdr:cNvSpPr>
      </xdr:nvSpPr>
      <xdr:spPr>
        <a:xfrm>
          <a:off x="7162800" y="5048250"/>
          <a:ext cx="1419225" cy="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21</xdr:row>
      <xdr:rowOff>95250</xdr:rowOff>
    </xdr:from>
    <xdr:to>
      <xdr:col>7</xdr:col>
      <xdr:colOff>695325</xdr:colOff>
      <xdr:row>21</xdr:row>
      <xdr:rowOff>104775</xdr:rowOff>
    </xdr:to>
    <xdr:sp>
      <xdr:nvSpPr>
        <xdr:cNvPr id="4" name="Connecteur droit avec flèche 6"/>
        <xdr:cNvSpPr>
          <a:spLocks/>
        </xdr:cNvSpPr>
      </xdr:nvSpPr>
      <xdr:spPr>
        <a:xfrm flipV="1">
          <a:off x="7153275" y="5219700"/>
          <a:ext cx="1419225" cy="95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590550</xdr:colOff>
      <xdr:row>0</xdr:row>
      <xdr:rowOff>0</xdr:rowOff>
    </xdr:from>
    <xdr:to>
      <xdr:col>12</xdr:col>
      <xdr:colOff>1076325</xdr:colOff>
      <xdr:row>3</xdr:row>
      <xdr:rowOff>190500</xdr:rowOff>
    </xdr:to>
    <xdr:pic>
      <xdr:nvPicPr>
        <xdr:cNvPr id="5" name="Image 1" descr="logo-Ayis-Trans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0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5</xdr:row>
      <xdr:rowOff>28575</xdr:rowOff>
    </xdr:from>
    <xdr:to>
      <xdr:col>2</xdr:col>
      <xdr:colOff>419100</xdr:colOff>
      <xdr:row>5</xdr:row>
      <xdr:rowOff>742950</xdr:rowOff>
    </xdr:to>
    <xdr:pic>
      <xdr:nvPicPr>
        <xdr:cNvPr id="6" name="Image 1" descr="logo-Ayis-Trans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476375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266700</xdr:colOff>
      <xdr:row>0</xdr:row>
      <xdr:rowOff>28575</xdr:rowOff>
    </xdr:from>
    <xdr:to>
      <xdr:col>19</xdr:col>
      <xdr:colOff>1162050</xdr:colOff>
      <xdr:row>3</xdr:row>
      <xdr:rowOff>161925</xdr:rowOff>
    </xdr:to>
    <xdr:pic>
      <xdr:nvPicPr>
        <xdr:cNvPr id="1" name="Image 2" descr="logo-Ayis-Transitx5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28575"/>
          <a:ext cx="895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19050</xdr:colOff>
      <xdr:row>3</xdr:row>
      <xdr:rowOff>133350</xdr:rowOff>
    </xdr:to>
    <xdr:pic>
      <xdr:nvPicPr>
        <xdr:cNvPr id="2" name="Image 2" descr="logo-Ayis-Transitx5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52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yistransit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yis.ca/" TargetMode="External" /><Relationship Id="rId2" Type="http://schemas.openxmlformats.org/officeDocument/2006/relationships/hyperlink" Target="http://www.u-s-a.fr/calcul%20volume.html" TargetMode="External" /><Relationship Id="rId3" Type="http://schemas.openxmlformats.org/officeDocument/2006/relationships/hyperlink" Target="http://www.ookingdom.com/metric/dim-to-capacity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it.ayis.ca/" TargetMode="External" /><Relationship Id="rId2" Type="http://schemas.openxmlformats.org/officeDocument/2006/relationships/hyperlink" Target="http://www.transit.ayis.ca/index.php/component/content/article/81-expedier/82-colis-et-autres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M9" sqref="M9"/>
    </sheetView>
  </sheetViews>
  <sheetFormatPr defaultColWidth="11.421875" defaultRowHeight="15"/>
  <cols>
    <col min="1" max="1" width="3.421875" style="0" customWidth="1"/>
    <col min="2" max="2" width="13.140625" style="0" customWidth="1"/>
    <col min="3" max="3" width="13.00390625" style="0" customWidth="1"/>
    <col min="4" max="4" width="15.00390625" style="0" customWidth="1"/>
    <col min="5" max="5" width="10.421875" style="0" hidden="1" customWidth="1"/>
    <col min="6" max="6" width="9.00390625" style="4" hidden="1" customWidth="1"/>
    <col min="7" max="7" width="19.421875" style="0" bestFit="1" customWidth="1"/>
    <col min="8" max="8" width="13.57421875" style="0" customWidth="1"/>
    <col min="9" max="9" width="17.57421875" style="0" customWidth="1"/>
  </cols>
  <sheetData>
    <row r="1" spans="1:13" ht="15">
      <c r="A1" s="5"/>
      <c r="B1" s="134"/>
      <c r="C1" s="97"/>
      <c r="D1" s="97"/>
      <c r="E1" s="97"/>
      <c r="F1" s="98"/>
      <c r="G1" s="97"/>
      <c r="H1" s="97"/>
      <c r="I1" s="97"/>
      <c r="J1" s="99"/>
      <c r="K1" s="5"/>
      <c r="L1" s="5"/>
      <c r="M1" s="5"/>
    </row>
    <row r="2" spans="1:13" ht="15" customHeight="1">
      <c r="A2" s="5"/>
      <c r="B2" s="16"/>
      <c r="C2" s="453"/>
      <c r="D2" s="453"/>
      <c r="E2" s="453"/>
      <c r="F2" s="453"/>
      <c r="G2" s="458" t="s">
        <v>28</v>
      </c>
      <c r="H2" s="29"/>
      <c r="I2" s="29"/>
      <c r="J2" s="17"/>
      <c r="K2" s="5"/>
      <c r="L2" s="5"/>
      <c r="M2" s="5"/>
    </row>
    <row r="3" spans="1:13" ht="15" customHeight="1">
      <c r="A3" s="5"/>
      <c r="B3" s="16"/>
      <c r="C3" s="453"/>
      <c r="D3" s="453"/>
      <c r="E3" s="453"/>
      <c r="F3" s="453"/>
      <c r="G3" s="458"/>
      <c r="H3" s="29"/>
      <c r="I3" s="29"/>
      <c r="J3" s="17"/>
      <c r="K3" s="5"/>
      <c r="L3" s="5"/>
      <c r="M3" s="5"/>
    </row>
    <row r="4" spans="1:13" ht="15">
      <c r="A4" s="5"/>
      <c r="B4" s="16"/>
      <c r="C4" s="454"/>
      <c r="D4" s="454"/>
      <c r="E4" s="454"/>
      <c r="F4" s="454"/>
      <c r="G4" s="29" t="s">
        <v>29</v>
      </c>
      <c r="H4" s="29"/>
      <c r="I4" s="29"/>
      <c r="J4" s="17"/>
      <c r="K4" s="5"/>
      <c r="L4" s="5"/>
      <c r="M4" s="5"/>
    </row>
    <row r="5" spans="1:13" ht="15.75" thickBot="1">
      <c r="A5" s="5"/>
      <c r="B5" s="135"/>
      <c r="C5" s="7"/>
      <c r="D5" s="459"/>
      <c r="E5" s="459"/>
      <c r="F5" s="88"/>
      <c r="G5" s="219" t="s">
        <v>206</v>
      </c>
      <c r="H5" s="437" t="s">
        <v>207</v>
      </c>
      <c r="I5" s="7"/>
      <c r="J5" s="136"/>
      <c r="K5" s="5"/>
      <c r="L5" s="5"/>
      <c r="M5" s="5"/>
    </row>
    <row r="6" spans="1:13" ht="15">
      <c r="A6" s="5"/>
      <c r="B6" s="6"/>
      <c r="C6" s="6"/>
      <c r="D6" s="6"/>
      <c r="E6" s="6"/>
      <c r="F6" s="12"/>
      <c r="G6" s="6"/>
      <c r="H6" s="6"/>
      <c r="I6" s="6"/>
      <c r="J6" s="6"/>
      <c r="K6" s="5"/>
      <c r="L6" s="5"/>
      <c r="M6" s="5"/>
    </row>
    <row r="7" spans="1:13" ht="15">
      <c r="A7" s="5"/>
      <c r="B7" s="29"/>
      <c r="C7" s="29"/>
      <c r="D7" s="29"/>
      <c r="E7" s="137"/>
      <c r="F7" s="29"/>
      <c r="G7" s="29"/>
      <c r="H7" s="29"/>
      <c r="I7" s="29"/>
      <c r="J7" s="29"/>
      <c r="K7" s="5"/>
      <c r="L7" s="5"/>
      <c r="M7" s="5"/>
    </row>
    <row r="8" spans="1:13" ht="15">
      <c r="A8" s="5"/>
      <c r="B8" s="29" t="s">
        <v>136</v>
      </c>
      <c r="C8" s="29"/>
      <c r="D8" s="29"/>
      <c r="E8" s="87"/>
      <c r="F8" s="29"/>
      <c r="G8" s="29"/>
      <c r="H8" s="17"/>
      <c r="I8" s="29"/>
      <c r="J8" s="29"/>
      <c r="K8" s="5"/>
      <c r="L8" s="5"/>
      <c r="M8" s="5"/>
    </row>
    <row r="9" spans="1:13" ht="15">
      <c r="A9" s="5"/>
      <c r="B9" s="220" t="s">
        <v>213</v>
      </c>
      <c r="C9" s="29"/>
      <c r="D9" s="29"/>
      <c r="E9" s="87"/>
      <c r="F9" s="29"/>
      <c r="G9" s="29"/>
      <c r="H9" s="17"/>
      <c r="I9" s="29"/>
      <c r="J9" s="29"/>
      <c r="K9" s="5"/>
      <c r="L9" s="5"/>
      <c r="M9" s="5"/>
    </row>
    <row r="10" spans="1:13" ht="15">
      <c r="A10" s="5"/>
      <c r="B10" s="43" t="s">
        <v>114</v>
      </c>
      <c r="C10" s="29"/>
      <c r="D10" s="29"/>
      <c r="E10" s="87"/>
      <c r="F10" s="29"/>
      <c r="G10" s="29"/>
      <c r="H10" s="29"/>
      <c r="I10" s="163" t="s">
        <v>164</v>
      </c>
      <c r="J10" s="164">
        <v>450</v>
      </c>
      <c r="K10" s="5"/>
      <c r="L10" s="5"/>
      <c r="M10" s="5"/>
    </row>
    <row r="11" spans="1:13" ht="15">
      <c r="A11" s="5"/>
      <c r="B11" s="43" t="s">
        <v>115</v>
      </c>
      <c r="C11" s="29"/>
      <c r="D11" s="18"/>
      <c r="E11" s="87"/>
      <c r="F11" s="29"/>
      <c r="G11" s="29"/>
      <c r="H11" s="29"/>
      <c r="I11" s="163" t="s">
        <v>163</v>
      </c>
      <c r="J11" s="164">
        <v>500</v>
      </c>
      <c r="K11" s="5"/>
      <c r="L11" s="5"/>
      <c r="M11" s="5"/>
    </row>
    <row r="12" spans="1:13" ht="15">
      <c r="A12" s="5"/>
      <c r="B12" s="29" t="s">
        <v>162</v>
      </c>
      <c r="C12" s="29"/>
      <c r="D12" s="29"/>
      <c r="E12" s="87"/>
      <c r="F12" s="29"/>
      <c r="G12" s="29"/>
      <c r="H12" s="29"/>
      <c r="I12" s="165" t="s">
        <v>160</v>
      </c>
      <c r="J12" s="165" t="s">
        <v>161</v>
      </c>
      <c r="K12" s="5"/>
      <c r="L12" s="5"/>
      <c r="M12" s="5"/>
    </row>
    <row r="13" spans="1:13" s="27" customFormat="1" ht="15">
      <c r="A13" s="28"/>
      <c r="B13" s="29"/>
      <c r="C13" s="29"/>
      <c r="D13" s="29"/>
      <c r="E13" s="87"/>
      <c r="F13" s="29"/>
      <c r="G13" s="29"/>
      <c r="H13" s="29"/>
      <c r="I13" s="166">
        <v>0.4428</v>
      </c>
      <c r="J13" s="166">
        <v>0.2214</v>
      </c>
      <c r="K13" s="28"/>
      <c r="L13" s="28"/>
      <c r="M13" s="28"/>
    </row>
    <row r="14" spans="1:13" ht="15">
      <c r="A14" s="5"/>
      <c r="B14" s="455" t="s">
        <v>145</v>
      </c>
      <c r="C14" s="456"/>
      <c r="D14" s="456"/>
      <c r="E14" s="456"/>
      <c r="F14" s="456"/>
      <c r="G14" s="456"/>
      <c r="H14" s="457"/>
      <c r="I14" s="139" t="s">
        <v>143</v>
      </c>
      <c r="J14" s="139" t="s">
        <v>144</v>
      </c>
      <c r="K14" s="5"/>
      <c r="L14" s="5"/>
      <c r="M14" s="5"/>
    </row>
    <row r="15" spans="1:13" ht="15">
      <c r="A15" s="5"/>
      <c r="B15" s="8"/>
      <c r="C15" s="8" t="s">
        <v>25</v>
      </c>
      <c r="D15" s="8" t="s">
        <v>26</v>
      </c>
      <c r="E15" s="92" t="s">
        <v>55</v>
      </c>
      <c r="F15" s="92" t="s">
        <v>27</v>
      </c>
      <c r="G15" s="138" t="s">
        <v>138</v>
      </c>
      <c r="H15" s="110" t="s">
        <v>139</v>
      </c>
      <c r="I15" s="113" t="s">
        <v>140</v>
      </c>
      <c r="J15" s="113" t="s">
        <v>141</v>
      </c>
      <c r="K15" s="5"/>
      <c r="L15" s="5"/>
      <c r="M15" s="5"/>
    </row>
    <row r="16" spans="1:13" ht="15">
      <c r="A16" s="5"/>
      <c r="B16" s="140" t="s">
        <v>30</v>
      </c>
      <c r="C16" s="10">
        <v>1</v>
      </c>
      <c r="D16" s="94">
        <v>59</v>
      </c>
      <c r="E16" s="95">
        <v>80000</v>
      </c>
      <c r="F16" s="89">
        <f>D16-C16</f>
        <v>58</v>
      </c>
      <c r="G16" s="128">
        <f>E16/F16</f>
        <v>1379.3103448275863</v>
      </c>
      <c r="H16" s="103" t="s">
        <v>30</v>
      </c>
      <c r="I16" s="119">
        <f>Taux44</f>
        <v>0.4428</v>
      </c>
      <c r="J16" s="120">
        <f>Taux22</f>
        <v>0.2214</v>
      </c>
      <c r="K16" s="5"/>
      <c r="L16" s="5"/>
      <c r="M16" s="5"/>
    </row>
    <row r="17" spans="1:13" ht="15">
      <c r="A17" s="5"/>
      <c r="B17" s="140" t="s">
        <v>165</v>
      </c>
      <c r="C17" s="10">
        <v>60</v>
      </c>
      <c r="D17" s="94">
        <v>199</v>
      </c>
      <c r="E17" s="95">
        <v>120000</v>
      </c>
      <c r="F17" s="89">
        <f>D17-C17</f>
        <v>139</v>
      </c>
      <c r="G17" s="128">
        <f aca="true" t="shared" si="0" ref="G17:G27">E17/F17</f>
        <v>863.3093525179856</v>
      </c>
      <c r="H17" s="103" t="s">
        <v>31</v>
      </c>
      <c r="I17" s="119">
        <f>Taux44</f>
        <v>0.4428</v>
      </c>
      <c r="J17" s="120">
        <f>Taux22</f>
        <v>0.2214</v>
      </c>
      <c r="K17" s="5"/>
      <c r="L17" s="5"/>
      <c r="M17" s="5"/>
    </row>
    <row r="18" spans="1:13" ht="15">
      <c r="A18" s="5"/>
      <c r="B18" s="140" t="s">
        <v>166</v>
      </c>
      <c r="C18" s="10">
        <v>200</v>
      </c>
      <c r="D18" s="94">
        <v>599</v>
      </c>
      <c r="E18" s="95">
        <v>170000</v>
      </c>
      <c r="F18" s="89">
        <f>D18-C18</f>
        <v>399</v>
      </c>
      <c r="G18" s="128">
        <f t="shared" si="0"/>
        <v>426.0651629072682</v>
      </c>
      <c r="H18" s="103" t="s">
        <v>32</v>
      </c>
      <c r="I18" s="119">
        <f>Taux44</f>
        <v>0.4428</v>
      </c>
      <c r="J18" s="120">
        <f>Taux22</f>
        <v>0.2214</v>
      </c>
      <c r="K18" s="5"/>
      <c r="L18" s="5"/>
      <c r="M18" s="5"/>
    </row>
    <row r="19" spans="1:13" ht="15.75" thickBot="1">
      <c r="A19" s="5"/>
      <c r="B19" s="140" t="s">
        <v>167</v>
      </c>
      <c r="C19" s="63">
        <v>600</v>
      </c>
      <c r="D19" s="111">
        <v>1500</v>
      </c>
      <c r="E19" s="96">
        <v>270000</v>
      </c>
      <c r="F19" s="90">
        <f>D19-C19</f>
        <v>900</v>
      </c>
      <c r="G19" s="129">
        <f t="shared" si="0"/>
        <v>300</v>
      </c>
      <c r="H19" s="112" t="s">
        <v>33</v>
      </c>
      <c r="I19" s="121">
        <f>Taux44</f>
        <v>0.4428</v>
      </c>
      <c r="J19" s="122">
        <f>Taux22</f>
        <v>0.2214</v>
      </c>
      <c r="K19" s="5"/>
      <c r="L19" s="5"/>
      <c r="M19" s="5"/>
    </row>
    <row r="20" spans="1:13" ht="15.75" thickBot="1">
      <c r="A20" s="5"/>
      <c r="B20" s="447" t="s">
        <v>149</v>
      </c>
      <c r="C20" s="448"/>
      <c r="D20" s="448"/>
      <c r="E20" s="141"/>
      <c r="F20" s="141"/>
      <c r="G20" s="447" t="s">
        <v>147</v>
      </c>
      <c r="H20" s="463"/>
      <c r="I20" s="460" t="s">
        <v>148</v>
      </c>
      <c r="J20" s="461"/>
      <c r="K20" s="5"/>
      <c r="L20" s="5"/>
      <c r="M20" s="5"/>
    </row>
    <row r="21" spans="1:13" s="27" customFormat="1" ht="15">
      <c r="A21" s="28"/>
      <c r="B21" s="29"/>
      <c r="C21" s="29"/>
      <c r="D21" s="29"/>
      <c r="E21" s="11"/>
      <c r="F21" s="14"/>
      <c r="G21" s="9"/>
      <c r="H21" s="29"/>
      <c r="I21" s="20"/>
      <c r="J21" s="20"/>
      <c r="K21" s="28"/>
      <c r="L21" s="28"/>
      <c r="M21" s="28"/>
    </row>
    <row r="22" spans="1:13" ht="15">
      <c r="A22" s="5"/>
      <c r="B22" s="451" t="s">
        <v>146</v>
      </c>
      <c r="C22" s="452"/>
      <c r="D22" s="452"/>
      <c r="E22" s="452"/>
      <c r="F22" s="452"/>
      <c r="G22" s="452"/>
      <c r="H22" s="452"/>
      <c r="I22" s="100" t="str">
        <f>I14</f>
        <v>Taux normal</v>
      </c>
      <c r="J22" s="101" t="str">
        <f>J14</f>
        <v>Taux réduit</v>
      </c>
      <c r="K22" s="5"/>
      <c r="L22" s="5"/>
      <c r="M22" s="5"/>
    </row>
    <row r="23" spans="1:13" ht="15">
      <c r="A23" s="5"/>
      <c r="B23" s="91" t="s">
        <v>39</v>
      </c>
      <c r="C23" s="3" t="s">
        <v>25</v>
      </c>
      <c r="D23" s="3" t="s">
        <v>26</v>
      </c>
      <c r="E23" s="91" t="s">
        <v>55</v>
      </c>
      <c r="F23" s="91" t="s">
        <v>27</v>
      </c>
      <c r="G23" s="104" t="str">
        <f>G15</f>
        <v>Taux par Kg F CFA</v>
      </c>
      <c r="H23" s="109" t="s">
        <v>139</v>
      </c>
      <c r="I23" s="109" t="str">
        <f>I15</f>
        <v>Taux-2</v>
      </c>
      <c r="J23" s="109" t="str">
        <f>J15</f>
        <v>Taux-3</v>
      </c>
      <c r="K23" s="5"/>
      <c r="L23" s="5"/>
      <c r="M23" s="5"/>
    </row>
    <row r="24" spans="1:13" ht="15">
      <c r="A24" s="5"/>
      <c r="B24" s="140" t="s">
        <v>168</v>
      </c>
      <c r="C24" s="10">
        <v>1</v>
      </c>
      <c r="D24" s="94">
        <v>59</v>
      </c>
      <c r="E24" s="95">
        <v>120000</v>
      </c>
      <c r="F24" s="89">
        <f>D24-C24</f>
        <v>58</v>
      </c>
      <c r="G24" s="130">
        <f t="shared" si="0"/>
        <v>2068.9655172413795</v>
      </c>
      <c r="H24" s="105" t="s">
        <v>34</v>
      </c>
      <c r="I24" s="114">
        <f>Taux44</f>
        <v>0.4428</v>
      </c>
      <c r="J24" s="115">
        <f>Taux22</f>
        <v>0.2214</v>
      </c>
      <c r="K24" s="5"/>
      <c r="L24" s="5"/>
      <c r="M24" s="5"/>
    </row>
    <row r="25" spans="1:13" ht="15">
      <c r="A25" s="5"/>
      <c r="B25" s="140" t="s">
        <v>169</v>
      </c>
      <c r="C25" s="10">
        <v>60</v>
      </c>
      <c r="D25" s="94">
        <v>199</v>
      </c>
      <c r="E25" s="95">
        <v>180000</v>
      </c>
      <c r="F25" s="89">
        <f>D25-C25</f>
        <v>139</v>
      </c>
      <c r="G25" s="130">
        <f t="shared" si="0"/>
        <v>1294.9640287769785</v>
      </c>
      <c r="H25" s="105" t="s">
        <v>35</v>
      </c>
      <c r="I25" s="114">
        <f>Taux44</f>
        <v>0.4428</v>
      </c>
      <c r="J25" s="115">
        <f>Taux22</f>
        <v>0.2214</v>
      </c>
      <c r="K25" s="5"/>
      <c r="L25" s="5"/>
      <c r="M25" s="5"/>
    </row>
    <row r="26" spans="1:13" ht="15">
      <c r="A26" s="5"/>
      <c r="B26" s="140" t="s">
        <v>170</v>
      </c>
      <c r="C26" s="10">
        <v>200</v>
      </c>
      <c r="D26" s="94">
        <v>599</v>
      </c>
      <c r="E26" s="95">
        <v>260000</v>
      </c>
      <c r="F26" s="89">
        <f>D26-C26</f>
        <v>399</v>
      </c>
      <c r="G26" s="130">
        <f t="shared" si="0"/>
        <v>651.6290726817043</v>
      </c>
      <c r="H26" s="105" t="s">
        <v>36</v>
      </c>
      <c r="I26" s="114">
        <f>Taux44</f>
        <v>0.4428</v>
      </c>
      <c r="J26" s="115">
        <f>Taux22</f>
        <v>0.2214</v>
      </c>
      <c r="K26" s="5"/>
      <c r="L26" s="5"/>
      <c r="M26" s="5"/>
    </row>
    <row r="27" spans="1:13" ht="15.75" thickBot="1">
      <c r="A27" s="5"/>
      <c r="B27" s="140" t="s">
        <v>171</v>
      </c>
      <c r="C27" s="63">
        <v>600</v>
      </c>
      <c r="D27" s="111">
        <v>1500</v>
      </c>
      <c r="E27" s="96">
        <v>400000</v>
      </c>
      <c r="F27" s="90">
        <f>D27-C27</f>
        <v>900</v>
      </c>
      <c r="G27" s="131">
        <f t="shared" si="0"/>
        <v>444.44444444444446</v>
      </c>
      <c r="H27" s="123" t="s">
        <v>37</v>
      </c>
      <c r="I27" s="124">
        <f>Taux44</f>
        <v>0.4428</v>
      </c>
      <c r="J27" s="125">
        <f>Taux22</f>
        <v>0.2214</v>
      </c>
      <c r="K27" s="5"/>
      <c r="L27" s="5"/>
      <c r="M27" s="5"/>
    </row>
    <row r="28" spans="1:13" ht="15.75" thickBot="1">
      <c r="A28" s="5"/>
      <c r="B28" s="447" t="str">
        <f>B20</f>
        <v>Moyenne de Droits et taxes de doaune  </v>
      </c>
      <c r="C28" s="448"/>
      <c r="D28" s="448"/>
      <c r="E28" s="67"/>
      <c r="F28" s="67"/>
      <c r="G28" s="447" t="str">
        <f>G20</f>
        <v>sur le poids et</v>
      </c>
      <c r="H28" s="463"/>
      <c r="I28" s="462" t="str">
        <f>I20</f>
        <v> sur la valeur</v>
      </c>
      <c r="J28" s="463"/>
      <c r="K28" s="5"/>
      <c r="L28" s="5"/>
      <c r="M28" s="5"/>
    </row>
    <row r="29" spans="1:13" s="27" customFormat="1" ht="15">
      <c r="A29" s="28"/>
      <c r="B29" s="28"/>
      <c r="C29" s="28"/>
      <c r="D29" s="28"/>
      <c r="E29" s="28"/>
      <c r="F29" s="15"/>
      <c r="G29" s="28"/>
      <c r="H29" s="28"/>
      <c r="I29" s="28"/>
      <c r="J29" s="28"/>
      <c r="K29" s="28"/>
      <c r="L29" s="28"/>
      <c r="M29" s="28"/>
    </row>
    <row r="30" spans="1:13" ht="15">
      <c r="A30" s="5"/>
      <c r="B30" s="451" t="s">
        <v>137</v>
      </c>
      <c r="C30" s="452"/>
      <c r="D30" s="452"/>
      <c r="E30" s="452"/>
      <c r="F30" s="452"/>
      <c r="G30" s="452"/>
      <c r="H30" s="452"/>
      <c r="I30" s="102" t="str">
        <f>I14</f>
        <v>Taux normal</v>
      </c>
      <c r="J30" s="102" t="str">
        <f>J14</f>
        <v>Taux réduit</v>
      </c>
      <c r="K30" s="5"/>
      <c r="L30" s="5"/>
      <c r="M30" s="5"/>
    </row>
    <row r="31" spans="1:13" ht="15">
      <c r="A31" s="5"/>
      <c r="B31" s="93" t="s">
        <v>39</v>
      </c>
      <c r="C31" s="24" t="s">
        <v>25</v>
      </c>
      <c r="D31" s="24" t="s">
        <v>26</v>
      </c>
      <c r="E31" s="25"/>
      <c r="F31" s="93" t="s">
        <v>27</v>
      </c>
      <c r="G31" s="106" t="str">
        <f>G23</f>
        <v>Taux par Kg F CFA</v>
      </c>
      <c r="H31" s="108" t="s">
        <v>142</v>
      </c>
      <c r="I31" s="108" t="str">
        <f>I15</f>
        <v>Taux-2</v>
      </c>
      <c r="J31" s="108" t="str">
        <f>J15</f>
        <v>Taux-3</v>
      </c>
      <c r="K31" s="5"/>
      <c r="L31" s="5"/>
      <c r="M31" s="5"/>
    </row>
    <row r="32" spans="1:13" ht="15">
      <c r="A32" s="5"/>
      <c r="B32" s="140" t="s">
        <v>172</v>
      </c>
      <c r="C32" s="10">
        <v>1</v>
      </c>
      <c r="D32" s="94">
        <v>59</v>
      </c>
      <c r="E32" s="19"/>
      <c r="F32" s="13"/>
      <c r="G32" s="132">
        <f>(AYISTD1+AYISTD5)/2</f>
        <v>1724.1379310344828</v>
      </c>
      <c r="H32" s="107" t="s">
        <v>41</v>
      </c>
      <c r="I32" s="116">
        <f>Taux44</f>
        <v>0.4428</v>
      </c>
      <c r="J32" s="116">
        <f>Taux22</f>
        <v>0.2214</v>
      </c>
      <c r="K32" s="5"/>
      <c r="L32" s="5"/>
      <c r="M32" s="5"/>
    </row>
    <row r="33" spans="1:13" ht="15">
      <c r="A33" s="5"/>
      <c r="B33" s="140" t="s">
        <v>173</v>
      </c>
      <c r="C33" s="10">
        <v>60</v>
      </c>
      <c r="D33" s="94">
        <v>199</v>
      </c>
      <c r="E33" s="19"/>
      <c r="F33" s="13"/>
      <c r="G33" s="132">
        <f>(AYISTD2+AYISTD6)/2</f>
        <v>1079.136690647482</v>
      </c>
      <c r="H33" s="107" t="s">
        <v>42</v>
      </c>
      <c r="I33" s="116">
        <f>Taux44</f>
        <v>0.4428</v>
      </c>
      <c r="J33" s="116">
        <f>Taux22</f>
        <v>0.2214</v>
      </c>
      <c r="K33" s="5"/>
      <c r="L33" s="5"/>
      <c r="M33" s="5"/>
    </row>
    <row r="34" spans="1:13" ht="15">
      <c r="A34" s="5"/>
      <c r="B34" s="140" t="s">
        <v>174</v>
      </c>
      <c r="C34" s="10">
        <v>200</v>
      </c>
      <c r="D34" s="94">
        <v>599</v>
      </c>
      <c r="E34" s="19"/>
      <c r="F34" s="13"/>
      <c r="G34" s="132">
        <f>(AYISTD3+AYISTD7)/2</f>
        <v>538.8471177944863</v>
      </c>
      <c r="H34" s="107" t="s">
        <v>43</v>
      </c>
      <c r="I34" s="117">
        <f>Taux44</f>
        <v>0.4428</v>
      </c>
      <c r="J34" s="118">
        <f>Taux22</f>
        <v>0.2214</v>
      </c>
      <c r="K34" s="5"/>
      <c r="L34" s="5"/>
      <c r="M34" s="5"/>
    </row>
    <row r="35" spans="1:13" ht="15.75" thickBot="1">
      <c r="A35" s="5"/>
      <c r="B35" s="140" t="s">
        <v>175</v>
      </c>
      <c r="C35" s="63">
        <v>600</v>
      </c>
      <c r="D35" s="111">
        <v>1500</v>
      </c>
      <c r="E35" s="64"/>
      <c r="F35" s="65"/>
      <c r="G35" s="133">
        <f>(AYISTD4+AYISTD8)/2</f>
        <v>372.22222222222223</v>
      </c>
      <c r="H35" s="126" t="s">
        <v>44</v>
      </c>
      <c r="I35" s="127">
        <f>I13</f>
        <v>0.4428</v>
      </c>
      <c r="J35" s="127">
        <f>Taux22</f>
        <v>0.2214</v>
      </c>
      <c r="K35" s="5"/>
      <c r="L35" s="5"/>
      <c r="M35" s="5"/>
    </row>
    <row r="36" spans="1:13" ht="15.75" thickBot="1">
      <c r="A36" s="5"/>
      <c r="B36" s="449" t="str">
        <f>B28</f>
        <v>Moyenne de Droits et taxes de doaune  </v>
      </c>
      <c r="C36" s="450"/>
      <c r="D36" s="450"/>
      <c r="E36" s="66"/>
      <c r="F36" s="66"/>
      <c r="G36" s="449" t="str">
        <f>G20</f>
        <v>sur le poids et</v>
      </c>
      <c r="H36" s="464"/>
      <c r="I36" s="462" t="str">
        <f>I20</f>
        <v> sur la valeur</v>
      </c>
      <c r="J36" s="463"/>
      <c r="K36" s="5"/>
      <c r="L36" s="5"/>
      <c r="M36" s="5"/>
    </row>
    <row r="37" spans="1:13" s="27" customFormat="1" ht="15">
      <c r="A37" s="28"/>
      <c r="B37" s="21"/>
      <c r="C37" s="22"/>
      <c r="D37" s="22"/>
      <c r="E37" s="23"/>
      <c r="F37" s="14"/>
      <c r="G37" s="14"/>
      <c r="H37" s="14"/>
      <c r="I37" s="28"/>
      <c r="J37" s="28"/>
      <c r="K37" s="28"/>
      <c r="L37" s="28"/>
      <c r="M37" s="28"/>
    </row>
    <row r="38" spans="1:13" ht="15">
      <c r="A38" s="5"/>
      <c r="B38" s="5"/>
      <c r="C38" s="5"/>
      <c r="D38" s="5"/>
      <c r="E38" s="5"/>
      <c r="F38" s="15"/>
      <c r="G38" s="5"/>
      <c r="H38" s="5"/>
      <c r="I38" s="5"/>
      <c r="J38" s="5"/>
      <c r="K38" s="5"/>
      <c r="L38" s="5"/>
      <c r="M38" s="5"/>
    </row>
  </sheetData>
  <sheetProtection password="9734" sheet="1" objects="1" scenarios="1"/>
  <mergeCells count="16">
    <mergeCell ref="I20:J20"/>
    <mergeCell ref="I28:J28"/>
    <mergeCell ref="I36:J36"/>
    <mergeCell ref="G28:H28"/>
    <mergeCell ref="G20:H20"/>
    <mergeCell ref="G36:H36"/>
    <mergeCell ref="B20:D20"/>
    <mergeCell ref="B28:D28"/>
    <mergeCell ref="B36:D36"/>
    <mergeCell ref="B30:H30"/>
    <mergeCell ref="C2:F3"/>
    <mergeCell ref="C4:F4"/>
    <mergeCell ref="B14:H14"/>
    <mergeCell ref="B22:H22"/>
    <mergeCell ref="G2:G3"/>
    <mergeCell ref="D5:E5"/>
  </mergeCells>
  <hyperlinks>
    <hyperlink ref="H5" r:id="rId1" display="ayistransit@g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2" sqref="C12"/>
    </sheetView>
  </sheetViews>
  <sheetFormatPr defaultColWidth="11.421875" defaultRowHeight="15"/>
  <cols>
    <col min="1" max="1" width="2.8515625" style="195" customWidth="1"/>
    <col min="2" max="2" width="20.7109375" style="0" customWidth="1"/>
    <col min="3" max="3" width="27.7109375" style="0" customWidth="1"/>
    <col min="4" max="4" width="3.8515625" style="0" customWidth="1"/>
    <col min="5" max="5" width="5.28125" style="0" customWidth="1"/>
    <col min="6" max="6" width="46.28125" style="0" customWidth="1"/>
    <col min="11" max="11" width="11.421875" style="27" customWidth="1"/>
    <col min="12" max="12" width="12.421875" style="0" customWidth="1"/>
    <col min="13" max="13" width="16.28125" style="0" customWidth="1"/>
  </cols>
  <sheetData>
    <row r="1" spans="1:13" ht="30">
      <c r="A1" s="217"/>
      <c r="B1" s="176"/>
      <c r="C1" s="465" t="s">
        <v>208</v>
      </c>
      <c r="D1" s="465"/>
      <c r="E1" s="465"/>
      <c r="F1" s="465"/>
      <c r="G1" s="465"/>
      <c r="H1" s="465"/>
      <c r="I1" s="465"/>
      <c r="J1" s="465"/>
      <c r="K1" s="465"/>
      <c r="L1" s="465"/>
      <c r="M1" s="178"/>
    </row>
    <row r="2" spans="1:13" s="195" customFormat="1" ht="22.5">
      <c r="A2" s="217"/>
      <c r="B2" s="176"/>
      <c r="C2" s="466" t="s">
        <v>209</v>
      </c>
      <c r="D2" s="466"/>
      <c r="E2" s="466"/>
      <c r="F2" s="466"/>
      <c r="G2" s="466"/>
      <c r="H2" s="466"/>
      <c r="I2" s="466"/>
      <c r="J2" s="466"/>
      <c r="K2" s="466"/>
      <c r="L2" s="466"/>
      <c r="M2" s="178"/>
    </row>
    <row r="3" spans="1:13" ht="22.5">
      <c r="A3" s="217"/>
      <c r="B3" s="177" t="s">
        <v>61</v>
      </c>
      <c r="C3" s="467" t="s">
        <v>210</v>
      </c>
      <c r="D3" s="467"/>
      <c r="E3" s="467"/>
      <c r="F3" s="467"/>
      <c r="G3" s="467"/>
      <c r="H3" s="467"/>
      <c r="I3" s="467"/>
      <c r="J3" s="467"/>
      <c r="K3" s="467"/>
      <c r="L3" s="467"/>
      <c r="M3" s="438"/>
    </row>
    <row r="4" spans="1:13" s="195" customFormat="1" ht="23.25" customHeight="1">
      <c r="A4" s="217"/>
      <c r="B4" s="216"/>
      <c r="C4" s="217"/>
      <c r="D4" s="217"/>
      <c r="E4" s="217"/>
      <c r="F4" s="343"/>
      <c r="G4" s="439"/>
      <c r="H4" s="439"/>
      <c r="I4" s="439"/>
      <c r="J4" s="343"/>
      <c r="K4" s="343"/>
      <c r="L4" s="343"/>
      <c r="M4" s="343"/>
    </row>
    <row r="5" spans="1:13" ht="15.75" thickBot="1">
      <c r="A5" s="217"/>
      <c r="B5" s="216"/>
      <c r="C5" s="196"/>
      <c r="D5" s="196"/>
      <c r="E5" s="196"/>
      <c r="F5" s="196"/>
      <c r="G5" s="459" t="s">
        <v>62</v>
      </c>
      <c r="H5" s="459"/>
      <c r="I5" s="459"/>
      <c r="J5" s="196"/>
      <c r="K5" s="196"/>
      <c r="L5" s="196"/>
      <c r="M5" s="196"/>
    </row>
    <row r="6" spans="1:13" ht="60.75" thickBot="1">
      <c r="A6" s="217"/>
      <c r="B6" s="370"/>
      <c r="C6" s="371"/>
      <c r="D6" s="29"/>
      <c r="E6" s="30" t="s">
        <v>64</v>
      </c>
      <c r="F6" s="45" t="s">
        <v>15</v>
      </c>
      <c r="G6" s="79" t="s">
        <v>119</v>
      </c>
      <c r="H6" s="79" t="s">
        <v>118</v>
      </c>
      <c r="I6" s="79" t="s">
        <v>120</v>
      </c>
      <c r="J6" s="46" t="s">
        <v>103</v>
      </c>
      <c r="K6" s="32" t="s">
        <v>101</v>
      </c>
      <c r="L6" s="32" t="s">
        <v>102</v>
      </c>
      <c r="M6" s="31" t="s">
        <v>65</v>
      </c>
    </row>
    <row r="7" spans="1:13" ht="15">
      <c r="A7" s="217"/>
      <c r="B7" s="367" t="s">
        <v>66</v>
      </c>
      <c r="C7" s="369" t="s">
        <v>197</v>
      </c>
      <c r="D7" s="47">
        <v>1</v>
      </c>
      <c r="E7" s="34">
        <v>1</v>
      </c>
      <c r="F7" s="392"/>
      <c r="G7" s="356"/>
      <c r="H7" s="356"/>
      <c r="I7" s="389"/>
      <c r="J7" s="356"/>
      <c r="K7" s="171">
        <f>E7*(G7*H7*I7)/1000000</f>
        <v>0</v>
      </c>
      <c r="L7" s="381">
        <f>J7*E7</f>
        <v>0</v>
      </c>
      <c r="M7" s="359">
        <v>0</v>
      </c>
    </row>
    <row r="8" spans="1:13" ht="15">
      <c r="A8" s="217"/>
      <c r="B8" s="348" t="s">
        <v>67</v>
      </c>
      <c r="C8" s="35">
        <f ca="1">TODAY()</f>
        <v>42350</v>
      </c>
      <c r="D8" s="47">
        <v>2</v>
      </c>
      <c r="E8" s="34">
        <v>1</v>
      </c>
      <c r="F8" s="356"/>
      <c r="G8" s="356"/>
      <c r="H8" s="356"/>
      <c r="I8" s="389"/>
      <c r="J8" s="356"/>
      <c r="K8" s="44">
        <f aca="true" t="shared" si="0" ref="K8:K16">E8*(G8*H8*I8)/1000000</f>
        <v>0</v>
      </c>
      <c r="L8" s="381">
        <f aca="true" t="shared" si="1" ref="L8:L16">J8*E8</f>
        <v>0</v>
      </c>
      <c r="M8" s="359"/>
    </row>
    <row r="9" spans="1:13" ht="15">
      <c r="A9" s="217"/>
      <c r="B9" s="348" t="s">
        <v>68</v>
      </c>
      <c r="C9" s="361" t="s">
        <v>69</v>
      </c>
      <c r="D9" s="47">
        <v>3</v>
      </c>
      <c r="E9" s="34">
        <v>1</v>
      </c>
      <c r="F9" s="356"/>
      <c r="G9" s="356"/>
      <c r="H9" s="356"/>
      <c r="I9" s="389"/>
      <c r="J9" s="356"/>
      <c r="K9" s="44">
        <f t="shared" si="0"/>
        <v>0</v>
      </c>
      <c r="L9" s="381">
        <f t="shared" si="1"/>
        <v>0</v>
      </c>
      <c r="M9" s="359"/>
    </row>
    <row r="10" spans="1:13" ht="15">
      <c r="A10" s="217"/>
      <c r="B10" s="348" t="s">
        <v>212</v>
      </c>
      <c r="C10" s="361" t="s">
        <v>198</v>
      </c>
      <c r="D10" s="47">
        <v>4</v>
      </c>
      <c r="E10" s="34">
        <v>1</v>
      </c>
      <c r="F10" s="356"/>
      <c r="G10" s="356"/>
      <c r="H10" s="356"/>
      <c r="I10" s="389"/>
      <c r="J10" s="356"/>
      <c r="K10" s="44">
        <f t="shared" si="0"/>
        <v>0</v>
      </c>
      <c r="L10" s="381">
        <f t="shared" si="1"/>
        <v>0</v>
      </c>
      <c r="M10" s="359"/>
    </row>
    <row r="11" spans="1:13" ht="15">
      <c r="A11" s="217"/>
      <c r="B11" s="348" t="s">
        <v>70</v>
      </c>
      <c r="C11" s="361" t="s">
        <v>71</v>
      </c>
      <c r="D11" s="47">
        <v>5</v>
      </c>
      <c r="E11" s="34">
        <v>1</v>
      </c>
      <c r="F11" s="356"/>
      <c r="G11" s="356"/>
      <c r="H11" s="356"/>
      <c r="I11" s="389"/>
      <c r="J11" s="356"/>
      <c r="K11" s="44">
        <f t="shared" si="0"/>
        <v>0</v>
      </c>
      <c r="L11" s="381">
        <f t="shared" si="1"/>
        <v>0</v>
      </c>
      <c r="M11" s="359"/>
    </row>
    <row r="12" spans="1:13" ht="15.75" thickBot="1">
      <c r="A12" s="217"/>
      <c r="B12" s="348" t="s">
        <v>199</v>
      </c>
      <c r="C12" s="33" t="str">
        <f>CONCATENATE("AYIS-",C9,"-",C10,"-",C11)</f>
        <v>AYIS-TC-NO-NN-XXX</v>
      </c>
      <c r="D12" s="47">
        <v>6</v>
      </c>
      <c r="E12" s="34">
        <v>1</v>
      </c>
      <c r="F12" s="356"/>
      <c r="G12" s="356"/>
      <c r="H12" s="356"/>
      <c r="I12" s="389"/>
      <c r="J12" s="356"/>
      <c r="K12" s="44">
        <f t="shared" si="0"/>
        <v>0</v>
      </c>
      <c r="L12" s="381">
        <f t="shared" si="1"/>
        <v>0</v>
      </c>
      <c r="M12" s="359"/>
    </row>
    <row r="13" spans="1:13" ht="15">
      <c r="A13" s="217"/>
      <c r="B13" s="367" t="s">
        <v>72</v>
      </c>
      <c r="C13" s="368" t="s">
        <v>73</v>
      </c>
      <c r="D13" s="47">
        <v>7</v>
      </c>
      <c r="E13" s="34">
        <v>1</v>
      </c>
      <c r="F13" s="356"/>
      <c r="G13" s="356"/>
      <c r="H13" s="356"/>
      <c r="I13" s="389"/>
      <c r="J13" s="356"/>
      <c r="K13" s="44">
        <f t="shared" si="0"/>
        <v>0</v>
      </c>
      <c r="L13" s="381">
        <f t="shared" si="1"/>
        <v>0</v>
      </c>
      <c r="M13" s="359"/>
    </row>
    <row r="14" spans="1:13" ht="15">
      <c r="A14" s="217"/>
      <c r="B14" s="348" t="s">
        <v>74</v>
      </c>
      <c r="C14" s="364"/>
      <c r="D14" s="47">
        <v>8</v>
      </c>
      <c r="E14" s="59">
        <v>1</v>
      </c>
      <c r="F14" s="357"/>
      <c r="G14" s="357"/>
      <c r="H14" s="357"/>
      <c r="I14" s="390"/>
      <c r="J14" s="356"/>
      <c r="K14" s="44">
        <f t="shared" si="0"/>
        <v>0</v>
      </c>
      <c r="L14" s="381">
        <f t="shared" si="1"/>
        <v>0</v>
      </c>
      <c r="M14" s="359"/>
    </row>
    <row r="15" spans="1:13" ht="15">
      <c r="A15" s="217"/>
      <c r="B15" s="348" t="s">
        <v>75</v>
      </c>
      <c r="C15" s="352"/>
      <c r="D15" s="47">
        <v>9</v>
      </c>
      <c r="E15" s="34">
        <v>1</v>
      </c>
      <c r="F15" s="358"/>
      <c r="G15" s="356"/>
      <c r="H15" s="356"/>
      <c r="I15" s="389"/>
      <c r="J15" s="393"/>
      <c r="K15" s="44">
        <f t="shared" si="0"/>
        <v>0</v>
      </c>
      <c r="L15" s="381">
        <f t="shared" si="1"/>
        <v>0</v>
      </c>
      <c r="M15" s="359"/>
    </row>
    <row r="16" spans="1:13" ht="15">
      <c r="A16" s="217"/>
      <c r="B16" s="348" t="s">
        <v>193</v>
      </c>
      <c r="C16" s="352"/>
      <c r="D16" s="47">
        <v>10</v>
      </c>
      <c r="E16" s="34">
        <v>1</v>
      </c>
      <c r="F16" s="358"/>
      <c r="G16" s="356"/>
      <c r="H16" s="356"/>
      <c r="I16" s="389"/>
      <c r="J16" s="393"/>
      <c r="K16" s="60">
        <f t="shared" si="0"/>
        <v>0</v>
      </c>
      <c r="L16" s="382">
        <f t="shared" si="1"/>
        <v>0</v>
      </c>
      <c r="M16" s="360"/>
    </row>
    <row r="17" spans="1:13" ht="15.75" thickBot="1">
      <c r="A17" s="217"/>
      <c r="B17" s="348" t="s">
        <v>194</v>
      </c>
      <c r="C17" s="353"/>
      <c r="D17" s="48"/>
      <c r="E17" s="1">
        <f>SUM(E7:E16)</f>
        <v>10</v>
      </c>
      <c r="F17" s="86"/>
      <c r="G17" s="391" t="s">
        <v>177</v>
      </c>
      <c r="H17" s="86"/>
      <c r="I17" s="86"/>
      <c r="J17" s="86"/>
      <c r="K17" s="394">
        <f>SUM(K7:K16)</f>
        <v>0</v>
      </c>
      <c r="L17" s="395">
        <f>SUM(L7:L16)</f>
        <v>0</v>
      </c>
      <c r="M17" s="396">
        <f>SUM(M7:M16)</f>
        <v>0</v>
      </c>
    </row>
    <row r="18" spans="1:13" ht="15.75" thickBot="1">
      <c r="A18" s="217"/>
      <c r="B18" s="348" t="s">
        <v>195</v>
      </c>
      <c r="C18" s="353"/>
      <c r="D18" s="48"/>
      <c r="E18" s="1" t="s">
        <v>128</v>
      </c>
      <c r="F18" s="86"/>
      <c r="G18" s="86"/>
      <c r="H18" s="86"/>
      <c r="I18" s="86"/>
      <c r="J18" s="86"/>
      <c r="K18" s="61"/>
      <c r="L18" s="62"/>
      <c r="M18" s="85"/>
    </row>
    <row r="19" spans="1:13" ht="15.75" thickBot="1">
      <c r="A19" s="217"/>
      <c r="B19" s="349" t="s">
        <v>196</v>
      </c>
      <c r="C19" s="355"/>
      <c r="D19" s="49"/>
      <c r="E19" s="383" t="s">
        <v>215</v>
      </c>
      <c r="F19" s="384"/>
      <c r="G19" s="384"/>
      <c r="H19" s="385"/>
      <c r="I19" s="472" t="str">
        <f>IF(I20=0,"Non","Oui")</f>
        <v>Non</v>
      </c>
      <c r="J19" s="473"/>
      <c r="K19" s="386"/>
      <c r="L19" s="387"/>
      <c r="M19" s="388" t="s">
        <v>126</v>
      </c>
    </row>
    <row r="20" spans="1:13" ht="15.75" thickBot="1">
      <c r="A20" s="217"/>
      <c r="B20" s="365" t="s">
        <v>76</v>
      </c>
      <c r="C20" s="366" t="s">
        <v>76</v>
      </c>
      <c r="D20" s="47"/>
      <c r="E20" s="69" t="s">
        <v>216</v>
      </c>
      <c r="F20" s="70"/>
      <c r="G20" s="375" t="s">
        <v>127</v>
      </c>
      <c r="H20" s="378"/>
      <c r="I20" s="470">
        <v>0</v>
      </c>
      <c r="J20" s="471"/>
      <c r="K20" s="71"/>
      <c r="L20" s="72"/>
      <c r="M20" s="73">
        <f>M17</f>
        <v>0</v>
      </c>
    </row>
    <row r="21" spans="1:13" ht="15">
      <c r="A21" s="217"/>
      <c r="B21" s="348" t="s">
        <v>74</v>
      </c>
      <c r="C21" s="364" t="s">
        <v>188</v>
      </c>
      <c r="D21" s="53"/>
      <c r="E21" s="69"/>
      <c r="F21" s="376" t="s">
        <v>135</v>
      </c>
      <c r="G21" s="374">
        <v>0.25</v>
      </c>
      <c r="H21" s="74"/>
      <c r="I21" s="476">
        <f>IF(I19&lt;&gt;"Oui",0,IF(I20&gt;M20,M20,I20))</f>
        <v>0</v>
      </c>
      <c r="J21" s="477"/>
      <c r="K21" s="379"/>
      <c r="L21" s="75"/>
      <c r="M21" s="76"/>
    </row>
    <row r="22" spans="1:13" ht="16.5" thickBot="1">
      <c r="A22" s="217"/>
      <c r="B22" s="348" t="s">
        <v>193</v>
      </c>
      <c r="C22" s="352"/>
      <c r="D22" s="53"/>
      <c r="E22" s="77"/>
      <c r="F22" s="377" t="s">
        <v>116</v>
      </c>
      <c r="G22" s="78"/>
      <c r="H22" s="78"/>
      <c r="I22" s="474">
        <f>IF(I19&lt;&gt;"Oui",0,G21*I21)</f>
        <v>0</v>
      </c>
      <c r="J22" s="475"/>
      <c r="K22" s="380"/>
      <c r="L22" s="83"/>
      <c r="M22" s="84"/>
    </row>
    <row r="23" spans="1:13" ht="15.75" thickBot="1">
      <c r="A23" s="217"/>
      <c r="B23" s="348" t="s">
        <v>77</v>
      </c>
      <c r="C23" s="353"/>
      <c r="D23" s="39"/>
      <c r="E23" s="397"/>
      <c r="F23" s="398" t="s">
        <v>109</v>
      </c>
      <c r="G23" s="398"/>
      <c r="H23" s="468" t="s">
        <v>47</v>
      </c>
      <c r="I23" s="469"/>
      <c r="J23" s="398"/>
      <c r="K23" s="402"/>
      <c r="L23" s="402"/>
      <c r="M23" s="403"/>
    </row>
    <row r="24" spans="1:13" ht="15.75" thickTop="1">
      <c r="A24" s="217"/>
      <c r="B24" s="348" t="s">
        <v>78</v>
      </c>
      <c r="C24" s="353"/>
      <c r="D24" s="40"/>
      <c r="E24" s="397"/>
      <c r="F24" s="398" t="s">
        <v>105</v>
      </c>
      <c r="G24" s="398"/>
      <c r="H24" s="398" t="s">
        <v>104</v>
      </c>
      <c r="I24" s="398"/>
      <c r="J24" s="398"/>
      <c r="K24" s="401"/>
      <c r="L24" s="402"/>
      <c r="M24" s="403"/>
    </row>
    <row r="25" spans="1:13" ht="15">
      <c r="A25" s="217"/>
      <c r="B25" s="350" t="s">
        <v>79</v>
      </c>
      <c r="C25" s="354"/>
      <c r="D25" s="41"/>
      <c r="E25" s="397"/>
      <c r="F25" s="398" t="s">
        <v>106</v>
      </c>
      <c r="G25" s="398"/>
      <c r="H25" s="398"/>
      <c r="I25" s="398"/>
      <c r="J25" s="398"/>
      <c r="K25" s="401"/>
      <c r="L25" s="402"/>
      <c r="M25" s="403"/>
    </row>
    <row r="26" spans="1:13" ht="15">
      <c r="A26" s="217"/>
      <c r="B26" s="362" t="s">
        <v>63</v>
      </c>
      <c r="C26" s="363"/>
      <c r="D26" s="29"/>
      <c r="E26" s="397"/>
      <c r="F26" s="398" t="s">
        <v>107</v>
      </c>
      <c r="G26" s="398"/>
      <c r="H26" s="398"/>
      <c r="I26" s="398"/>
      <c r="J26" s="398"/>
      <c r="K26" s="401"/>
      <c r="L26" s="402"/>
      <c r="M26" s="403"/>
    </row>
    <row r="27" spans="1:13" ht="15">
      <c r="A27" s="217"/>
      <c r="B27" s="348" t="s">
        <v>80</v>
      </c>
      <c r="C27" s="37"/>
      <c r="D27" s="38"/>
      <c r="E27" s="397"/>
      <c r="F27" s="398" t="s">
        <v>108</v>
      </c>
      <c r="G27" s="398"/>
      <c r="H27" s="398"/>
      <c r="I27" s="398"/>
      <c r="J27" s="398"/>
      <c r="K27" s="401"/>
      <c r="L27" s="402"/>
      <c r="M27" s="403"/>
    </row>
    <row r="28" spans="1:13" ht="15">
      <c r="A28" s="217"/>
      <c r="B28" s="348" t="s">
        <v>81</v>
      </c>
      <c r="C28" s="37"/>
      <c r="D28" s="38"/>
      <c r="E28" s="397"/>
      <c r="F28" s="398"/>
      <c r="G28" s="398"/>
      <c r="H28" s="398"/>
      <c r="I28" s="398"/>
      <c r="J28" s="398"/>
      <c r="K28" s="401"/>
      <c r="L28" s="402"/>
      <c r="M28" s="403"/>
    </row>
    <row r="29" spans="1:13" ht="15">
      <c r="A29" s="217"/>
      <c r="B29" s="348" t="s">
        <v>82</v>
      </c>
      <c r="C29" s="37"/>
      <c r="D29" s="38"/>
      <c r="E29" s="397"/>
      <c r="F29" s="398"/>
      <c r="G29" s="398"/>
      <c r="H29" s="50"/>
      <c r="I29" s="50"/>
      <c r="J29" s="50"/>
      <c r="K29" s="51"/>
      <c r="L29" s="52"/>
      <c r="M29" s="54"/>
    </row>
    <row r="30" spans="1:13" ht="15">
      <c r="A30" s="217"/>
      <c r="B30" s="348" t="s">
        <v>83</v>
      </c>
      <c r="C30" s="37"/>
      <c r="D30" s="38"/>
      <c r="E30" s="397"/>
      <c r="F30" s="398"/>
      <c r="G30" s="398"/>
      <c r="H30" s="50" t="s">
        <v>203</v>
      </c>
      <c r="I30" s="50"/>
      <c r="J30" s="50"/>
      <c r="K30" s="51"/>
      <c r="L30" s="52"/>
      <c r="M30" s="54"/>
    </row>
    <row r="31" spans="1:13" ht="15">
      <c r="A31" s="217"/>
      <c r="B31" s="348" t="s">
        <v>84</v>
      </c>
      <c r="C31" s="37"/>
      <c r="D31" s="38"/>
      <c r="E31" s="397"/>
      <c r="F31" s="398"/>
      <c r="G31" s="398"/>
      <c r="H31" s="50" t="s">
        <v>110</v>
      </c>
      <c r="I31" s="50"/>
      <c r="J31" s="50"/>
      <c r="K31" s="51"/>
      <c r="L31" s="52"/>
      <c r="M31" s="54"/>
    </row>
    <row r="32" spans="1:13" ht="15.75" thickBot="1">
      <c r="A32" s="217"/>
      <c r="B32" s="348" t="s">
        <v>85</v>
      </c>
      <c r="C32" s="35"/>
      <c r="D32" s="36"/>
      <c r="E32" s="399"/>
      <c r="F32" s="400"/>
      <c r="G32" s="400"/>
      <c r="H32" s="55"/>
      <c r="I32" s="55"/>
      <c r="J32" s="55"/>
      <c r="K32" s="56"/>
      <c r="L32" s="57"/>
      <c r="M32" s="58"/>
    </row>
    <row r="33" spans="1:13" ht="15.75" thickBot="1">
      <c r="A33" s="217"/>
      <c r="B33" s="348" t="s">
        <v>86</v>
      </c>
      <c r="C33" s="35"/>
      <c r="D33" s="36"/>
      <c r="E33" s="182" t="s">
        <v>111</v>
      </c>
      <c r="F33" s="183"/>
      <c r="G33" s="183" t="s">
        <v>112</v>
      </c>
      <c r="H33" s="183"/>
      <c r="I33" s="183"/>
      <c r="J33" s="183"/>
      <c r="K33" s="184"/>
      <c r="L33" s="185"/>
      <c r="M33" s="186"/>
    </row>
    <row r="34" spans="1:13" ht="15">
      <c r="A34" s="217"/>
      <c r="B34" s="348" t="s">
        <v>87</v>
      </c>
      <c r="C34" s="35"/>
      <c r="D34" s="36"/>
      <c r="E34" s="182"/>
      <c r="F34" s="183" t="s">
        <v>178</v>
      </c>
      <c r="G34" s="183"/>
      <c r="H34" s="183"/>
      <c r="I34" s="183"/>
      <c r="J34" s="183"/>
      <c r="K34" s="184"/>
      <c r="L34" s="185"/>
      <c r="M34" s="186"/>
    </row>
    <row r="35" spans="1:13" ht="15">
      <c r="A35" s="217"/>
      <c r="B35" s="348"/>
      <c r="C35" s="33"/>
      <c r="D35" s="29"/>
      <c r="E35" s="187"/>
      <c r="F35" s="179" t="s">
        <v>179</v>
      </c>
      <c r="G35" s="179"/>
      <c r="H35" s="179"/>
      <c r="I35" s="179"/>
      <c r="J35" s="179"/>
      <c r="K35" s="180"/>
      <c r="L35" s="181"/>
      <c r="M35" s="188"/>
    </row>
    <row r="36" spans="1:13" ht="15.75" thickBot="1">
      <c r="A36" s="217"/>
      <c r="B36" s="351"/>
      <c r="C36" s="42"/>
      <c r="D36" s="29"/>
      <c r="E36" s="189"/>
      <c r="F36" s="190" t="s">
        <v>180</v>
      </c>
      <c r="G36" s="191"/>
      <c r="H36" s="191"/>
      <c r="I36" s="191"/>
      <c r="J36" s="191"/>
      <c r="K36" s="192"/>
      <c r="L36" s="193"/>
      <c r="M36" s="194"/>
    </row>
    <row r="37" spans="1:13" ht="15.75" thickBot="1">
      <c r="A37" s="217"/>
      <c r="B37" s="218"/>
      <c r="C37" s="196"/>
      <c r="D37" s="196"/>
      <c r="E37" s="196"/>
      <c r="F37" s="197"/>
      <c r="G37" s="197"/>
      <c r="H37" s="197"/>
      <c r="I37" s="197"/>
      <c r="J37" s="197"/>
      <c r="K37" s="197"/>
      <c r="L37" s="197"/>
      <c r="M37" s="197"/>
    </row>
    <row r="38" spans="1:13" ht="15">
      <c r="A38" s="217"/>
      <c r="B38" s="220"/>
      <c r="C38" s="196"/>
      <c r="D38" s="196"/>
      <c r="E38" s="200" t="s">
        <v>181</v>
      </c>
      <c r="F38" s="201"/>
      <c r="G38" s="202"/>
      <c r="H38" s="202"/>
      <c r="I38" s="202"/>
      <c r="J38" s="202"/>
      <c r="K38" s="202"/>
      <c r="L38" s="202"/>
      <c r="M38" s="203"/>
    </row>
    <row r="39" spans="1:13" ht="15">
      <c r="A39" s="217"/>
      <c r="B39" s="220"/>
      <c r="C39" s="196"/>
      <c r="D39" s="196"/>
      <c r="E39" s="204" t="s">
        <v>182</v>
      </c>
      <c r="F39" s="205"/>
      <c r="G39" s="198"/>
      <c r="H39" s="198"/>
      <c r="I39" s="198"/>
      <c r="J39" s="198"/>
      <c r="K39" s="198"/>
      <c r="L39" s="198"/>
      <c r="M39" s="206"/>
    </row>
    <row r="40" spans="1:13" ht="15">
      <c r="A40" s="217"/>
      <c r="B40" s="196"/>
      <c r="C40" s="196"/>
      <c r="D40" s="196"/>
      <c r="E40" s="207" t="s">
        <v>183</v>
      </c>
      <c r="F40" s="208"/>
      <c r="G40" s="198"/>
      <c r="H40" s="198"/>
      <c r="I40" s="198"/>
      <c r="J40" s="198"/>
      <c r="K40" s="198"/>
      <c r="L40" s="198"/>
      <c r="M40" s="206"/>
    </row>
    <row r="41" spans="1:13" ht="15">
      <c r="A41" s="217"/>
      <c r="B41" s="220" t="s">
        <v>186</v>
      </c>
      <c r="C41" s="217"/>
      <c r="D41" s="196"/>
      <c r="E41" s="344" t="s">
        <v>191</v>
      </c>
      <c r="F41" s="208"/>
      <c r="G41" s="198"/>
      <c r="H41" s="198"/>
      <c r="I41" s="198"/>
      <c r="J41" s="198"/>
      <c r="K41" s="198"/>
      <c r="L41" s="198"/>
      <c r="M41" s="206"/>
    </row>
    <row r="42" spans="1:13" ht="15">
      <c r="A42" s="217"/>
      <c r="B42" s="220"/>
      <c r="C42" s="217"/>
      <c r="D42" s="196"/>
      <c r="E42" s="207" t="s">
        <v>184</v>
      </c>
      <c r="F42" s="208"/>
      <c r="G42" s="198"/>
      <c r="H42" s="198"/>
      <c r="I42" s="198"/>
      <c r="J42" s="198"/>
      <c r="K42" s="198"/>
      <c r="L42" s="198"/>
      <c r="M42" s="206"/>
    </row>
    <row r="43" spans="1:13" ht="15.75" thickBot="1">
      <c r="A43" s="217"/>
      <c r="B43" s="220"/>
      <c r="C43" s="217"/>
      <c r="D43" s="196"/>
      <c r="E43" s="207" t="s">
        <v>185</v>
      </c>
      <c r="F43" s="208"/>
      <c r="G43" s="198"/>
      <c r="H43" s="198"/>
      <c r="I43" s="198" t="s">
        <v>132</v>
      </c>
      <c r="J43" s="199">
        <v>0.25</v>
      </c>
      <c r="K43" s="198"/>
      <c r="L43" s="198"/>
      <c r="M43" s="206"/>
    </row>
    <row r="44" spans="1:13" ht="15">
      <c r="A44" s="217"/>
      <c r="B44" s="218"/>
      <c r="C44" s="218"/>
      <c r="D44" s="196"/>
      <c r="E44" s="209" t="s">
        <v>129</v>
      </c>
      <c r="F44" s="210"/>
      <c r="G44" s="198"/>
      <c r="H44" s="198"/>
      <c r="I44" s="198"/>
      <c r="J44" s="198"/>
      <c r="K44" s="198"/>
      <c r="L44" s="198"/>
      <c r="M44" s="206"/>
    </row>
    <row r="45" spans="1:13" ht="15.75" thickBot="1">
      <c r="A45" s="217"/>
      <c r="B45" s="220" t="s">
        <v>187</v>
      </c>
      <c r="C45" s="219"/>
      <c r="D45" s="196"/>
      <c r="E45" s="211" t="s">
        <v>88</v>
      </c>
      <c r="F45" s="212"/>
      <c r="G45" s="213"/>
      <c r="H45" s="213" t="s">
        <v>89</v>
      </c>
      <c r="I45" s="213"/>
      <c r="J45" s="213"/>
      <c r="K45" s="213"/>
      <c r="L45" s="213"/>
      <c r="M45" s="214"/>
    </row>
    <row r="46" spans="1:13" ht="15">
      <c r="A46" s="217"/>
      <c r="B46" s="196"/>
      <c r="C46" s="215"/>
      <c r="D46" s="215"/>
      <c r="E46" s="196"/>
      <c r="F46" s="196"/>
      <c r="G46" s="196"/>
      <c r="H46" s="196"/>
      <c r="I46" s="196"/>
      <c r="J46" s="196"/>
      <c r="K46" s="196"/>
      <c r="L46" s="196"/>
      <c r="M46" s="197"/>
    </row>
    <row r="47" spans="1:13" ht="15">
      <c r="A47" s="217"/>
      <c r="B47" s="196"/>
      <c r="C47" s="174"/>
      <c r="D47" s="174"/>
      <c r="E47" s="196"/>
      <c r="F47" s="196"/>
      <c r="G47" s="196"/>
      <c r="H47" s="196"/>
      <c r="I47" s="196"/>
      <c r="J47" s="196"/>
      <c r="K47" s="196"/>
      <c r="L47" s="196"/>
      <c r="M47" s="196"/>
    </row>
    <row r="48" spans="1:13" ht="15">
      <c r="A48" s="217"/>
      <c r="B48" s="196"/>
      <c r="C48" s="174"/>
      <c r="D48" s="174"/>
      <c r="E48" s="196"/>
      <c r="F48" s="196"/>
      <c r="G48" s="196"/>
      <c r="H48" s="196"/>
      <c r="I48" s="196"/>
      <c r="J48" s="196"/>
      <c r="K48" s="196"/>
      <c r="L48" s="196"/>
      <c r="M48" s="196"/>
    </row>
    <row r="49" spans="1:13" ht="15">
      <c r="A49" s="217"/>
      <c r="B49" s="196"/>
      <c r="C49" s="174"/>
      <c r="D49" s="174"/>
      <c r="E49" s="196"/>
      <c r="F49" s="196"/>
      <c r="G49" s="196"/>
      <c r="H49" s="196"/>
      <c r="I49" s="196"/>
      <c r="J49" s="196"/>
      <c r="K49" s="196"/>
      <c r="L49" s="196"/>
      <c r="M49" s="196"/>
    </row>
    <row r="50" spans="1:13" ht="15">
      <c r="A50" s="217"/>
      <c r="B50" s="196"/>
      <c r="C50" s="174"/>
      <c r="D50" s="174"/>
      <c r="E50" s="196"/>
      <c r="F50" s="196"/>
      <c r="G50" s="196"/>
      <c r="H50" s="196"/>
      <c r="I50" s="196"/>
      <c r="J50" s="196"/>
      <c r="K50" s="196"/>
      <c r="L50" s="196"/>
      <c r="M50" s="196"/>
    </row>
    <row r="51" spans="1:13" s="144" customFormat="1" ht="15">
      <c r="A51" s="217"/>
      <c r="B51" s="196"/>
      <c r="C51" s="174"/>
      <c r="D51" s="174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s="144" customFormat="1" ht="15">
      <c r="A52" s="217"/>
      <c r="B52" s="196"/>
      <c r="C52" s="196"/>
      <c r="D52" s="174"/>
      <c r="E52" s="196"/>
      <c r="F52" s="196"/>
      <c r="G52" s="196"/>
      <c r="H52" s="196"/>
      <c r="I52" s="196"/>
      <c r="J52" s="196"/>
      <c r="K52" s="196"/>
      <c r="L52" s="196"/>
      <c r="M52" s="196"/>
    </row>
    <row r="53" spans="1:13" s="144" customFormat="1" ht="15">
      <c r="A53" s="217"/>
      <c r="B53" s="196"/>
      <c r="C53" s="196"/>
      <c r="D53" s="174"/>
      <c r="E53" s="196"/>
      <c r="F53" s="196"/>
      <c r="G53" s="196"/>
      <c r="H53" s="196"/>
      <c r="I53" s="196"/>
      <c r="J53" s="196"/>
      <c r="K53" s="196"/>
      <c r="L53" s="196"/>
      <c r="M53" s="196"/>
    </row>
    <row r="54" spans="1:13" ht="15">
      <c r="A54" s="217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</row>
    <row r="55" spans="1:13" s="144" customFormat="1" ht="15">
      <c r="A55" s="21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s="144" customFormat="1" ht="15">
      <c r="A56" s="217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</row>
    <row r="57" spans="1:13" ht="15">
      <c r="A57" s="217"/>
      <c r="B57" s="196"/>
      <c r="C57" s="215" t="s">
        <v>90</v>
      </c>
      <c r="D57" s="215"/>
      <c r="E57" s="196"/>
      <c r="F57" s="196"/>
      <c r="G57" s="196"/>
      <c r="H57" s="196"/>
      <c r="I57" s="196"/>
      <c r="J57" s="196"/>
      <c r="K57" s="196"/>
      <c r="L57" s="196"/>
      <c r="M57" s="196"/>
    </row>
    <row r="58" spans="1:13" ht="15">
      <c r="A58" s="217"/>
      <c r="B58" s="196"/>
      <c r="C58" s="167" t="s">
        <v>134</v>
      </c>
      <c r="D58" s="167"/>
      <c r="E58" s="168"/>
      <c r="F58" s="168"/>
      <c r="G58" s="169"/>
      <c r="H58" s="170">
        <f>J43</f>
        <v>0.25</v>
      </c>
      <c r="I58" s="168"/>
      <c r="J58" s="196"/>
      <c r="K58" s="196"/>
      <c r="L58" s="196"/>
      <c r="M58" s="196"/>
    </row>
    <row r="59" spans="1:13" ht="15">
      <c r="A59" s="217"/>
      <c r="B59" s="196"/>
      <c r="C59" s="167" t="s">
        <v>133</v>
      </c>
      <c r="D59" s="167"/>
      <c r="E59" s="168"/>
      <c r="F59" s="168"/>
      <c r="G59" s="168"/>
      <c r="H59" s="168"/>
      <c r="I59" s="168"/>
      <c r="J59" s="196"/>
      <c r="K59" s="196"/>
      <c r="L59" s="196"/>
      <c r="M59" s="196"/>
    </row>
    <row r="60" spans="1:13" s="144" customFormat="1" ht="15">
      <c r="A60" s="217"/>
      <c r="B60" s="196"/>
      <c r="C60" s="167"/>
      <c r="D60" s="167"/>
      <c r="E60" s="168"/>
      <c r="F60" s="168"/>
      <c r="G60" s="168"/>
      <c r="H60" s="168"/>
      <c r="I60" s="168"/>
      <c r="J60" s="196"/>
      <c r="K60" s="196"/>
      <c r="L60" s="196"/>
      <c r="M60" s="196"/>
    </row>
    <row r="61" spans="1:13" ht="15">
      <c r="A61" s="217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</row>
    <row r="62" spans="1:13" ht="15">
      <c r="A62" s="217"/>
      <c r="B62" s="196"/>
      <c r="C62" s="215" t="s">
        <v>91</v>
      </c>
      <c r="D62" s="215"/>
      <c r="E62" s="196"/>
      <c r="F62" s="196"/>
      <c r="G62" s="196"/>
      <c r="H62" s="196"/>
      <c r="I62" s="196"/>
      <c r="J62" s="196"/>
      <c r="K62" s="196"/>
      <c r="L62" s="196"/>
      <c r="M62" s="196"/>
    </row>
    <row r="63" spans="1:13" ht="15">
      <c r="A63" s="217"/>
      <c r="B63" s="196"/>
      <c r="C63" s="167" t="s">
        <v>176</v>
      </c>
      <c r="D63" s="167"/>
      <c r="E63" s="167"/>
      <c r="F63" s="167"/>
      <c r="G63" s="196"/>
      <c r="H63" s="196"/>
      <c r="I63" s="196"/>
      <c r="J63" s="196"/>
      <c r="K63" s="196"/>
      <c r="L63" s="196"/>
      <c r="M63" s="196"/>
    </row>
    <row r="64" spans="1:13" ht="15">
      <c r="A64" s="217"/>
      <c r="B64" s="196"/>
      <c r="C64" s="167" t="s">
        <v>92</v>
      </c>
      <c r="D64" s="167"/>
      <c r="E64" s="167"/>
      <c r="F64" s="167"/>
      <c r="G64" s="196"/>
      <c r="H64" s="196"/>
      <c r="I64" s="196"/>
      <c r="J64" s="196"/>
      <c r="K64" s="196"/>
      <c r="L64" s="196"/>
      <c r="M64" s="196"/>
    </row>
    <row r="65" spans="1:13" ht="15">
      <c r="A65" s="217"/>
      <c r="B65" s="196"/>
      <c r="C65" s="167" t="s">
        <v>93</v>
      </c>
      <c r="D65" s="167"/>
      <c r="E65" s="167"/>
      <c r="F65" s="167"/>
      <c r="G65" s="196"/>
      <c r="H65" s="196"/>
      <c r="I65" s="196"/>
      <c r="J65" s="196"/>
      <c r="K65" s="196"/>
      <c r="L65" s="196"/>
      <c r="M65" s="196"/>
    </row>
    <row r="66" spans="1:13" ht="15">
      <c r="A66" s="217"/>
      <c r="B66" s="196"/>
      <c r="C66" s="173"/>
      <c r="D66" s="173"/>
      <c r="E66" s="173"/>
      <c r="F66" s="173"/>
      <c r="G66" s="196"/>
      <c r="H66" s="196"/>
      <c r="I66" s="196"/>
      <c r="J66" s="196"/>
      <c r="K66" s="196"/>
      <c r="L66" s="196"/>
      <c r="M66" s="196"/>
    </row>
    <row r="67" spans="1:13" ht="15">
      <c r="A67" s="217"/>
      <c r="B67" s="196"/>
      <c r="C67" s="215" t="s">
        <v>94</v>
      </c>
      <c r="D67" s="215"/>
      <c r="E67" s="173"/>
      <c r="F67" s="173"/>
      <c r="G67" s="196"/>
      <c r="H67" s="196"/>
      <c r="I67" s="196"/>
      <c r="J67" s="196"/>
      <c r="K67" s="196"/>
      <c r="L67" s="196"/>
      <c r="M67" s="196"/>
    </row>
    <row r="68" spans="1:13" ht="15">
      <c r="A68" s="217"/>
      <c r="B68" s="196"/>
      <c r="C68" s="173" t="s">
        <v>95</v>
      </c>
      <c r="D68" s="173"/>
      <c r="E68" s="173"/>
      <c r="F68" s="173"/>
      <c r="G68" s="196"/>
      <c r="H68" s="196"/>
      <c r="I68" s="196"/>
      <c r="J68" s="196"/>
      <c r="K68" s="196"/>
      <c r="L68" s="196"/>
      <c r="M68" s="196"/>
    </row>
    <row r="69" spans="1:13" ht="15">
      <c r="A69" s="217"/>
      <c r="B69" s="196"/>
      <c r="C69" s="173" t="s">
        <v>96</v>
      </c>
      <c r="D69" s="173"/>
      <c r="E69" s="173"/>
      <c r="F69" s="173"/>
      <c r="G69" s="173"/>
      <c r="H69" s="196"/>
      <c r="I69" s="196"/>
      <c r="J69" s="196"/>
      <c r="K69" s="196"/>
      <c r="L69" s="196"/>
      <c r="M69" s="196"/>
    </row>
    <row r="70" spans="1:13" ht="15">
      <c r="A70" s="217"/>
      <c r="B70" s="196"/>
      <c r="C70" s="173" t="s">
        <v>97</v>
      </c>
      <c r="D70" s="173"/>
      <c r="E70" s="173"/>
      <c r="F70" s="173"/>
      <c r="G70" s="173"/>
      <c r="H70" s="196"/>
      <c r="I70" s="196"/>
      <c r="J70" s="175"/>
      <c r="K70" s="196"/>
      <c r="L70" s="196"/>
      <c r="M70" s="196"/>
    </row>
    <row r="71" spans="1:13" ht="15">
      <c r="A71" s="217"/>
      <c r="B71" s="196"/>
      <c r="C71" s="173" t="s">
        <v>98</v>
      </c>
      <c r="D71" s="173"/>
      <c r="E71" s="173"/>
      <c r="F71" s="173"/>
      <c r="G71" s="173"/>
      <c r="H71" s="196"/>
      <c r="I71" s="196"/>
      <c r="J71" s="196"/>
      <c r="K71" s="196"/>
      <c r="L71" s="196"/>
      <c r="M71" s="196"/>
    </row>
    <row r="72" spans="1:13" ht="15">
      <c r="A72" s="217"/>
      <c r="B72" s="196"/>
      <c r="C72" s="196"/>
      <c r="D72" s="196"/>
      <c r="E72" s="173"/>
      <c r="F72" s="173"/>
      <c r="G72" s="173"/>
      <c r="H72" s="196"/>
      <c r="I72" s="196"/>
      <c r="J72" s="196"/>
      <c r="K72" s="196"/>
      <c r="L72" s="196"/>
      <c r="M72" s="196"/>
    </row>
    <row r="73" spans="1:13" ht="15">
      <c r="A73" s="217"/>
      <c r="B73" s="196"/>
      <c r="C73" s="215" t="s">
        <v>99</v>
      </c>
      <c r="D73" s="215"/>
      <c r="E73" s="173"/>
      <c r="F73" s="173"/>
      <c r="G73" s="173"/>
      <c r="H73" s="196"/>
      <c r="I73" s="196"/>
      <c r="J73" s="196"/>
      <c r="K73" s="196"/>
      <c r="L73" s="196"/>
      <c r="M73" s="196"/>
    </row>
    <row r="74" spans="1:13" ht="15">
      <c r="A74" s="217"/>
      <c r="B74" s="196"/>
      <c r="C74" s="216" t="s">
        <v>100</v>
      </c>
      <c r="D74" s="216"/>
      <c r="E74" s="173"/>
      <c r="F74" s="173"/>
      <c r="G74" s="173"/>
      <c r="H74" s="196"/>
      <c r="I74" s="196"/>
      <c r="J74" s="196"/>
      <c r="K74" s="196"/>
      <c r="L74" s="196"/>
      <c r="M74" s="196"/>
    </row>
    <row r="75" spans="1:13" ht="15">
      <c r="A75" s="217"/>
      <c r="B75" s="196"/>
      <c r="C75" s="216" t="s">
        <v>177</v>
      </c>
      <c r="D75" s="216"/>
      <c r="E75" s="173"/>
      <c r="F75" s="173"/>
      <c r="G75" s="173"/>
      <c r="H75" s="196"/>
      <c r="I75" s="196"/>
      <c r="J75" s="196"/>
      <c r="K75" s="196"/>
      <c r="L75" s="196"/>
      <c r="M75" s="196"/>
    </row>
    <row r="76" spans="1:13" ht="15">
      <c r="A76" s="217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</row>
    <row r="77" spans="2:13" ht="15"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</row>
    <row r="78" spans="2:13" ht="15"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</row>
    <row r="79" spans="2:13" ht="15"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</row>
    <row r="80" spans="2:13" ht="15"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</row>
    <row r="81" spans="2:13" ht="15"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</row>
    <row r="82" spans="2:13" ht="15"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</row>
    <row r="83" spans="2:13" ht="15"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</row>
    <row r="84" spans="2:13" ht="15"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</row>
    <row r="85" spans="2:13" ht="15"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</row>
    <row r="86" spans="2:13" ht="15"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</row>
    <row r="87" spans="2:13" ht="15"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</row>
    <row r="88" spans="2:13" ht="15"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</row>
    <row r="89" spans="2:13" ht="15"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</row>
    <row r="90" spans="2:13" ht="15"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</row>
    <row r="91" spans="2:13" ht="15"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</row>
    <row r="92" spans="2:13" ht="15"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</row>
    <row r="93" spans="2:13" ht="15"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</row>
    <row r="94" spans="2:13" ht="15"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</row>
    <row r="95" spans="2:13" ht="15"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</row>
    <row r="96" spans="2:13" ht="15"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</row>
    <row r="97" spans="2:13" ht="15"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</row>
    <row r="98" spans="2:13" ht="15"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</row>
    <row r="99" spans="2:13" ht="15"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</row>
    <row r="100" spans="2:13" ht="15"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</row>
    <row r="101" spans="2:13" ht="15"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</row>
  </sheetData>
  <sheetProtection password="9734" sheet="1" objects="1" scenarios="1"/>
  <mergeCells count="9">
    <mergeCell ref="C1:L1"/>
    <mergeCell ref="C2:L2"/>
    <mergeCell ref="C3:L3"/>
    <mergeCell ref="G5:I5"/>
    <mergeCell ref="H23:I23"/>
    <mergeCell ref="I20:J20"/>
    <mergeCell ref="I19:J19"/>
    <mergeCell ref="I22:J22"/>
    <mergeCell ref="I21:J21"/>
  </mergeCells>
  <dataValidations count="1">
    <dataValidation type="list" showInputMessage="1" showErrorMessage="1" promptTitle="Saisir le type d'effets:" prompt="Usagé &#10;Nouveau &#10;Mixte" errorTitle="Type d'effets" error="Vous devez saisir une des valeurs suivantes:&#10;Usagé&#10;Nouveau &#10;Mixte" sqref="H23:I23">
      <formula1>Effets</formula1>
    </dataValidation>
  </dataValidations>
  <hyperlinks>
    <hyperlink ref="B3" r:id="rId1" display="www.ayis.ca "/>
    <hyperlink ref="C74" r:id="rId2" tooltip="Calcul du poids taxables" display="http://www.u-s-a.fr/calcul volume.html"/>
    <hyperlink ref="G17" r:id="rId3" display="Outil de converssion lxlxH en M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7"/>
  <headerFooter>
    <oddFooter>&amp;CPage &amp;P de &amp;N
Formulaire conçu et réalisé par ayis Informatique     www.informatique.ayis.ca</oddFooter>
  </headerFooter>
  <drawing r:id="rId6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5"/>
  <sheetViews>
    <sheetView zoomScale="85" zoomScaleNormal="85" zoomScalePageLayoutView="0" workbookViewId="0" topLeftCell="A1">
      <pane xSplit="5" ySplit="3" topLeftCell="F3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P56" sqref="P56"/>
    </sheetView>
  </sheetViews>
  <sheetFormatPr defaultColWidth="11.421875" defaultRowHeight="15"/>
  <cols>
    <col min="1" max="1" width="3.7109375" style="0" customWidth="1"/>
    <col min="2" max="2" width="8.421875" style="0" customWidth="1"/>
    <col min="3" max="3" width="1.1484375" style="0" customWidth="1"/>
    <col min="4" max="4" width="6.8515625" style="0" customWidth="1"/>
    <col min="5" max="5" width="0.5625" style="0" customWidth="1"/>
    <col min="6" max="6" width="28.28125" style="0" customWidth="1"/>
    <col min="7" max="7" width="1.1484375" style="0" customWidth="1"/>
    <col min="8" max="8" width="10.28125" style="0" bestFit="1" customWidth="1"/>
    <col min="9" max="9" width="2.8515625" style="0" customWidth="1"/>
    <col min="10" max="10" width="10.28125" style="0" bestFit="1" customWidth="1"/>
    <col min="11" max="11" width="1.7109375" style="0" customWidth="1"/>
    <col min="12" max="12" width="11.421875" style="0" customWidth="1"/>
    <col min="13" max="13" width="2.140625" style="0" customWidth="1"/>
    <col min="14" max="14" width="10.28125" style="0" customWidth="1"/>
    <col min="15" max="15" width="2.28125" style="0" customWidth="1"/>
    <col min="16" max="16" width="18.421875" style="0" customWidth="1"/>
    <col min="17" max="17" width="3.140625" style="0" customWidth="1"/>
    <col min="18" max="18" width="20.140625" style="0" customWidth="1"/>
    <col min="19" max="19" width="2.57421875" style="144" customWidth="1"/>
    <col min="20" max="20" width="18.140625" style="0" customWidth="1"/>
    <col min="21" max="21" width="10.00390625" style="0" customWidth="1"/>
  </cols>
  <sheetData>
    <row r="1" spans="1:20" ht="24" thickBot="1">
      <c r="A1" s="230"/>
      <c r="B1" s="242"/>
      <c r="C1" s="242"/>
      <c r="D1" s="478" t="s">
        <v>13</v>
      </c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250"/>
      <c r="T1" s="221"/>
    </row>
    <row r="2" spans="1:20" ht="15">
      <c r="A2" s="249" t="s">
        <v>5</v>
      </c>
      <c r="B2" s="225">
        <v>200</v>
      </c>
      <c r="C2" s="242"/>
      <c r="D2" s="485" t="s">
        <v>205</v>
      </c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251"/>
      <c r="P2" s="497">
        <f>'AYIS-Reservation-Colis'!C14</f>
        <v>0</v>
      </c>
      <c r="Q2" s="497"/>
      <c r="R2" s="498"/>
      <c r="S2" s="224"/>
      <c r="T2" s="221"/>
    </row>
    <row r="3" spans="1:20" ht="15.75" thickBot="1">
      <c r="A3" s="249" t="s">
        <v>6</v>
      </c>
      <c r="B3" s="225">
        <v>2</v>
      </c>
      <c r="C3" s="242"/>
      <c r="D3" s="487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252"/>
      <c r="P3" s="503" t="str">
        <f>IF('AYIS-Reservation-Colis'!I19&lt;&gt;"Oui","Assurance refusé !","Assurance accepté !")</f>
        <v>Assurance refusé !</v>
      </c>
      <c r="Q3" s="503"/>
      <c r="R3" s="504"/>
      <c r="S3" s="253"/>
      <c r="T3" s="221"/>
    </row>
    <row r="4" spans="1:20" ht="15">
      <c r="A4" s="249" t="s">
        <v>7</v>
      </c>
      <c r="B4" s="225">
        <v>15000</v>
      </c>
      <c r="C4" s="242"/>
      <c r="D4" s="242"/>
      <c r="E4" s="242"/>
      <c r="F4" s="242"/>
      <c r="G4" s="242"/>
      <c r="H4" s="242" t="s">
        <v>16</v>
      </c>
      <c r="I4" s="242"/>
      <c r="J4" s="242" t="s">
        <v>16</v>
      </c>
      <c r="K4" s="242"/>
      <c r="L4" s="242" t="s">
        <v>16</v>
      </c>
      <c r="M4" s="242"/>
      <c r="N4" s="420" t="s">
        <v>18</v>
      </c>
      <c r="O4" s="421" t="s">
        <v>17</v>
      </c>
      <c r="P4" s="422" t="s">
        <v>153</v>
      </c>
      <c r="Q4" s="242"/>
      <c r="R4" s="242" t="s">
        <v>4</v>
      </c>
      <c r="S4" s="242"/>
      <c r="T4" s="221"/>
    </row>
    <row r="5" spans="1:20" ht="15">
      <c r="A5" s="222"/>
      <c r="B5" s="345">
        <v>25</v>
      </c>
      <c r="C5" s="299"/>
      <c r="D5" s="407" t="s">
        <v>202</v>
      </c>
      <c r="E5" s="405"/>
      <c r="F5" s="408" t="s">
        <v>15</v>
      </c>
      <c r="G5" s="224"/>
      <c r="H5" s="408" t="s">
        <v>0</v>
      </c>
      <c r="I5" s="410"/>
      <c r="J5" s="408" t="s">
        <v>1</v>
      </c>
      <c r="K5" s="410"/>
      <c r="L5" s="408" t="s">
        <v>2</v>
      </c>
      <c r="M5" s="410"/>
      <c r="N5" s="408" t="s">
        <v>14</v>
      </c>
      <c r="O5" s="410"/>
      <c r="P5" s="408" t="s">
        <v>201</v>
      </c>
      <c r="Q5" s="410"/>
      <c r="R5" s="408" t="s">
        <v>200</v>
      </c>
      <c r="S5" s="410"/>
      <c r="T5" s="408" t="s">
        <v>154</v>
      </c>
    </row>
    <row r="6" spans="1:20" ht="15">
      <c r="A6" s="221"/>
      <c r="B6" s="300"/>
      <c r="C6" s="224"/>
      <c r="D6" s="297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82"/>
    </row>
    <row r="7" spans="1:20" ht="15" customHeight="1">
      <c r="A7" s="221"/>
      <c r="B7" s="346">
        <f>'AYIS-Reservation-Colis'!D7</f>
        <v>1</v>
      </c>
      <c r="C7" s="296">
        <v>1</v>
      </c>
      <c r="D7" s="424">
        <f>'AYIS-Reservation-Colis'!E7</f>
        <v>1</v>
      </c>
      <c r="E7" s="404"/>
      <c r="F7" s="425">
        <f>'AYIS-Reservation-Colis'!F7</f>
        <v>0</v>
      </c>
      <c r="G7" s="224"/>
      <c r="H7" s="426">
        <f>'AYIS-Reservation-Colis'!G7</f>
        <v>0</v>
      </c>
      <c r="I7" s="224"/>
      <c r="J7" s="426">
        <f>'AYIS-Reservation-Colis'!H7</f>
        <v>0</v>
      </c>
      <c r="K7" s="224"/>
      <c r="L7" s="426">
        <f>'AYIS-Reservation-Colis'!I7</f>
        <v>0</v>
      </c>
      <c r="M7" s="224"/>
      <c r="N7" s="26">
        <f>D7*(H7*J7*L7)/1000000</f>
        <v>0</v>
      </c>
      <c r="O7" s="228"/>
      <c r="P7" s="26">
        <f>IF((N7*T_1)&gt;=R7,(N7*T_1),R7)</f>
        <v>0</v>
      </c>
      <c r="Q7" s="228"/>
      <c r="R7" s="427">
        <f>'AYIS-Reservation-Colis'!L7</f>
        <v>0</v>
      </c>
      <c r="S7" s="409"/>
      <c r="T7" s="428">
        <f>'AYIS-Reservation-Colis'!M7</f>
        <v>0</v>
      </c>
    </row>
    <row r="8" spans="1:20" ht="15">
      <c r="A8" s="221"/>
      <c r="B8" s="300"/>
      <c r="C8" s="224"/>
      <c r="D8" s="291"/>
      <c r="E8" s="224"/>
      <c r="F8" s="224"/>
      <c r="G8" s="224"/>
      <c r="H8" s="224"/>
      <c r="I8" s="224"/>
      <c r="J8" s="224"/>
      <c r="K8" s="224"/>
      <c r="L8" s="224"/>
      <c r="M8" s="224"/>
      <c r="N8" s="291" t="s">
        <v>3</v>
      </c>
      <c r="O8" s="224"/>
      <c r="P8" s="224"/>
      <c r="Q8" s="224"/>
      <c r="R8" s="224"/>
      <c r="S8" s="224"/>
      <c r="T8" s="296"/>
    </row>
    <row r="9" spans="1:20" ht="15">
      <c r="A9" s="221"/>
      <c r="B9" s="346">
        <f>'AYIS-Reservation-Colis'!D8</f>
        <v>2</v>
      </c>
      <c r="C9" s="296">
        <v>2</v>
      </c>
      <c r="D9" s="424">
        <f>'AYIS-Reservation-Colis'!E8</f>
        <v>1</v>
      </c>
      <c r="E9" s="404"/>
      <c r="F9" s="429">
        <f>'AYIS-Reservation-Colis'!F8</f>
        <v>0</v>
      </c>
      <c r="G9" s="224"/>
      <c r="H9" s="427">
        <f>'AYIS-Reservation-Colis'!G8</f>
        <v>0</v>
      </c>
      <c r="I9" s="224"/>
      <c r="J9" s="427">
        <f>'AYIS-Reservation-Colis'!H8</f>
        <v>0</v>
      </c>
      <c r="K9" s="224"/>
      <c r="L9" s="427">
        <f>'AYIS-Reservation-Colis'!I8</f>
        <v>0</v>
      </c>
      <c r="M9" s="224"/>
      <c r="N9" s="26">
        <f>D9*(H9*J9*L9)/1000000</f>
        <v>0</v>
      </c>
      <c r="O9" s="228"/>
      <c r="P9" s="26">
        <f>IF((N9*T_1)&gt;=R9,(N9*T_1),R9)</f>
        <v>0</v>
      </c>
      <c r="Q9" s="228"/>
      <c r="R9" s="427">
        <f>'AYIS-Reservation-Colis'!L8</f>
        <v>0</v>
      </c>
      <c r="S9" s="409"/>
      <c r="T9" s="428">
        <f>'AYIS-Reservation-Colis'!M8</f>
        <v>0</v>
      </c>
    </row>
    <row r="10" spans="1:20" ht="15">
      <c r="A10" s="221"/>
      <c r="B10" s="300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91"/>
      <c r="O10" s="224"/>
      <c r="P10" s="224"/>
      <c r="Q10" s="224"/>
      <c r="R10" s="224"/>
      <c r="S10" s="224"/>
      <c r="T10" s="296"/>
    </row>
    <row r="11" spans="1:20" ht="15">
      <c r="A11" s="221"/>
      <c r="B11" s="346">
        <f>'AYIS-Reservation-Colis'!D9</f>
        <v>3</v>
      </c>
      <c r="C11" s="296">
        <v>2</v>
      </c>
      <c r="D11" s="424">
        <f>'AYIS-Reservation-Colis'!E9</f>
        <v>1</v>
      </c>
      <c r="E11" s="404"/>
      <c r="F11" s="429">
        <f>'AYIS-Reservation-Colis'!F9</f>
        <v>0</v>
      </c>
      <c r="G11" s="224"/>
      <c r="H11" s="427">
        <f>'AYIS-Reservation-Colis'!G9</f>
        <v>0</v>
      </c>
      <c r="I11" s="224"/>
      <c r="J11" s="427">
        <f>'AYIS-Reservation-Colis'!H9</f>
        <v>0</v>
      </c>
      <c r="K11" s="224"/>
      <c r="L11" s="427">
        <f>'AYIS-Reservation-Colis'!I9</f>
        <v>0</v>
      </c>
      <c r="M11" s="224"/>
      <c r="N11" s="26">
        <f>D11*(H11*J11*L11)/1000000</f>
        <v>0</v>
      </c>
      <c r="O11" s="228"/>
      <c r="P11" s="26">
        <f>IF((N11*T_1)&gt;=R11,(N11*T_1),R11)</f>
        <v>0</v>
      </c>
      <c r="Q11" s="228"/>
      <c r="R11" s="427">
        <f>'AYIS-Reservation-Colis'!L9</f>
        <v>0</v>
      </c>
      <c r="S11" s="409"/>
      <c r="T11" s="428">
        <f>'AYIS-Reservation-Colis'!M9</f>
        <v>0</v>
      </c>
    </row>
    <row r="12" spans="1:20" ht="15">
      <c r="A12" s="221"/>
      <c r="B12" s="346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91"/>
      <c r="O12" s="224"/>
      <c r="P12" s="224"/>
      <c r="Q12" s="224"/>
      <c r="R12" s="224"/>
      <c r="S12" s="224"/>
      <c r="T12" s="296"/>
    </row>
    <row r="13" spans="1:20" ht="15">
      <c r="A13" s="221"/>
      <c r="B13" s="346">
        <f>'AYIS-Reservation-Colis'!D10</f>
        <v>4</v>
      </c>
      <c r="C13" s="296"/>
      <c r="D13" s="424">
        <f>'AYIS-Reservation-Colis'!E10</f>
        <v>1</v>
      </c>
      <c r="E13" s="404"/>
      <c r="F13" s="429">
        <f>'AYIS-Reservation-Colis'!F10</f>
        <v>0</v>
      </c>
      <c r="G13" s="224"/>
      <c r="H13" s="427">
        <f>'AYIS-Reservation-Colis'!G10</f>
        <v>0</v>
      </c>
      <c r="I13" s="224"/>
      <c r="J13" s="427">
        <f>'AYIS-Reservation-Colis'!H10</f>
        <v>0</v>
      </c>
      <c r="K13" s="224"/>
      <c r="L13" s="427">
        <f>'AYIS-Reservation-Colis'!I10</f>
        <v>0</v>
      </c>
      <c r="M13" s="224"/>
      <c r="N13" s="26">
        <f>D13*(H13*J13*L13)/1000000</f>
        <v>0</v>
      </c>
      <c r="O13" s="228"/>
      <c r="P13" s="26">
        <f>IF((N13*T_1)&gt;=R13,(N13*T_1),R13)</f>
        <v>0</v>
      </c>
      <c r="Q13" s="228"/>
      <c r="R13" s="427">
        <f>'AYIS-Reservation-Colis'!L10</f>
        <v>0</v>
      </c>
      <c r="S13" s="409"/>
      <c r="T13" s="428">
        <f>'AYIS-Reservation-Colis'!M10</f>
        <v>0</v>
      </c>
    </row>
    <row r="14" spans="1:20" ht="15">
      <c r="A14" s="221"/>
      <c r="B14" s="346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91"/>
      <c r="O14" s="224"/>
      <c r="P14" s="224"/>
      <c r="Q14" s="224"/>
      <c r="R14" s="224"/>
      <c r="S14" s="224"/>
      <c r="T14" s="296"/>
    </row>
    <row r="15" spans="1:20" ht="15">
      <c r="A15" s="221"/>
      <c r="B15" s="346">
        <f>'AYIS-Reservation-Colis'!D11</f>
        <v>5</v>
      </c>
      <c r="C15" s="296"/>
      <c r="D15" s="424">
        <f>'AYIS-Reservation-Colis'!E11</f>
        <v>1</v>
      </c>
      <c r="E15" s="404"/>
      <c r="F15" s="430">
        <f>'AYIS-Reservation-Colis'!F11</f>
        <v>0</v>
      </c>
      <c r="G15" s="224"/>
      <c r="H15" s="427">
        <f>'AYIS-Reservation-Colis'!G11</f>
        <v>0</v>
      </c>
      <c r="I15" s="224"/>
      <c r="J15" s="427">
        <f>'AYIS-Reservation-Colis'!H11</f>
        <v>0</v>
      </c>
      <c r="K15" s="224"/>
      <c r="L15" s="427">
        <f>'AYIS-Reservation-Colis'!I11</f>
        <v>0</v>
      </c>
      <c r="M15" s="224"/>
      <c r="N15" s="26">
        <f>D15*(H15*J15*L15)/1000000</f>
        <v>0</v>
      </c>
      <c r="O15" s="228"/>
      <c r="P15" s="26">
        <f>IF((N15*T_1)&gt;=R15,(N15*T_1),R15)</f>
        <v>0</v>
      </c>
      <c r="Q15" s="228"/>
      <c r="R15" s="427">
        <f>'AYIS-Reservation-Colis'!L11</f>
        <v>0</v>
      </c>
      <c r="S15" s="409"/>
      <c r="T15" s="428">
        <f>'AYIS-Reservation-Colis'!M11</f>
        <v>0</v>
      </c>
    </row>
    <row r="16" spans="1:20" ht="15">
      <c r="A16" s="221"/>
      <c r="B16" s="346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91"/>
      <c r="O16" s="224"/>
      <c r="P16" s="224"/>
      <c r="Q16" s="224"/>
      <c r="R16" s="224"/>
      <c r="S16" s="224"/>
      <c r="T16" s="296"/>
    </row>
    <row r="17" spans="1:20" ht="15">
      <c r="A17" s="221"/>
      <c r="B17" s="346">
        <f>'AYIS-Reservation-Colis'!D12</f>
        <v>6</v>
      </c>
      <c r="C17" s="296">
        <v>6</v>
      </c>
      <c r="D17" s="424">
        <f>'AYIS-Reservation-Colis'!E12</f>
        <v>1</v>
      </c>
      <c r="E17" s="404"/>
      <c r="F17" s="429">
        <f>'AYIS-Reservation-Colis'!F12</f>
        <v>0</v>
      </c>
      <c r="G17" s="224"/>
      <c r="H17" s="427">
        <f>'AYIS-Reservation-Colis'!G12</f>
        <v>0</v>
      </c>
      <c r="I17" s="404"/>
      <c r="J17" s="427">
        <f>'AYIS-Reservation-Colis'!H12</f>
        <v>0</v>
      </c>
      <c r="K17" s="224"/>
      <c r="L17" s="427">
        <f>'AYIS-Reservation-Colis'!I12</f>
        <v>0</v>
      </c>
      <c r="M17" s="224"/>
      <c r="N17" s="26">
        <f>D17*(H17*J17*L17)/1000000</f>
        <v>0</v>
      </c>
      <c r="O17" s="228"/>
      <c r="P17" s="26">
        <f>IF((N17*T_1)&gt;=R17,(N17*T_1),R17)</f>
        <v>0</v>
      </c>
      <c r="Q17" s="228"/>
      <c r="R17" s="427">
        <f>'AYIS-Reservation-Colis'!L12</f>
        <v>0</v>
      </c>
      <c r="S17" s="409"/>
      <c r="T17" s="428">
        <f>'AYIS-Reservation-Colis'!M12</f>
        <v>0</v>
      </c>
    </row>
    <row r="18" spans="1:20" ht="15">
      <c r="A18" s="221"/>
      <c r="B18" s="346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91"/>
      <c r="O18" s="224"/>
      <c r="P18" s="224"/>
      <c r="Q18" s="224"/>
      <c r="R18" s="224"/>
      <c r="S18" s="224"/>
      <c r="T18" s="296"/>
    </row>
    <row r="19" spans="1:20" ht="15">
      <c r="A19" s="221"/>
      <c r="B19" s="346">
        <f>'AYIS-Reservation-Colis'!D13</f>
        <v>7</v>
      </c>
      <c r="C19" s="296"/>
      <c r="D19" s="424">
        <f>'AYIS-Reservation-Colis'!E13</f>
        <v>1</v>
      </c>
      <c r="E19" s="404"/>
      <c r="F19" s="429">
        <f>'AYIS-Reservation-Colis'!F13</f>
        <v>0</v>
      </c>
      <c r="G19" s="224"/>
      <c r="H19" s="427">
        <f>'AYIS-Reservation-Colis'!G13</f>
        <v>0</v>
      </c>
      <c r="I19" s="224"/>
      <c r="J19" s="427">
        <f>'AYIS-Reservation-Colis'!H13</f>
        <v>0</v>
      </c>
      <c r="K19" s="224"/>
      <c r="L19" s="427">
        <f>'AYIS-Reservation-Colis'!I13</f>
        <v>0</v>
      </c>
      <c r="M19" s="224"/>
      <c r="N19" s="26">
        <f>D19*(H19*J19*L19)/1000000</f>
        <v>0</v>
      </c>
      <c r="O19" s="228"/>
      <c r="P19" s="26">
        <f>IF((N19*T_1)&gt;=R19,(N19*T_1),R19)</f>
        <v>0</v>
      </c>
      <c r="Q19" s="228"/>
      <c r="R19" s="427">
        <f>'AYIS-Reservation-Colis'!L13</f>
        <v>0</v>
      </c>
      <c r="S19" s="409"/>
      <c r="T19" s="428">
        <f>'AYIS-Reservation-Colis'!M13</f>
        <v>0</v>
      </c>
    </row>
    <row r="20" spans="1:20" ht="15">
      <c r="A20" s="221"/>
      <c r="B20" s="346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91"/>
      <c r="O20" s="224"/>
      <c r="P20" s="224"/>
      <c r="Q20" s="224"/>
      <c r="R20" s="224"/>
      <c r="S20" s="224"/>
      <c r="T20" s="296"/>
    </row>
    <row r="21" spans="1:20" ht="15">
      <c r="A21" s="221"/>
      <c r="B21" s="346">
        <f>'AYIS-Reservation-Colis'!D14</f>
        <v>8</v>
      </c>
      <c r="C21" s="296"/>
      <c r="D21" s="424">
        <f>'AYIS-Reservation-Colis'!E14</f>
        <v>1</v>
      </c>
      <c r="E21" s="404"/>
      <c r="F21" s="429">
        <f>'AYIS-Reservation-Colis'!F14</f>
        <v>0</v>
      </c>
      <c r="G21" s="224"/>
      <c r="H21" s="427">
        <f>'AYIS-Reservation-Colis'!G14</f>
        <v>0</v>
      </c>
      <c r="I21" s="224"/>
      <c r="J21" s="427">
        <f>'AYIS-Reservation-Colis'!H14</f>
        <v>0</v>
      </c>
      <c r="K21" s="224"/>
      <c r="L21" s="427">
        <f>'AYIS-Reservation-Colis'!I14</f>
        <v>0</v>
      </c>
      <c r="M21" s="224"/>
      <c r="N21" s="26">
        <f>D21*(H21*J21*L21)/1000000</f>
        <v>0</v>
      </c>
      <c r="O21" s="228"/>
      <c r="P21" s="26">
        <f>IF((N21*T_1)&gt;=R21,(N21*T_1),R21)</f>
        <v>0</v>
      </c>
      <c r="Q21" s="228"/>
      <c r="R21" s="427">
        <f>'AYIS-Reservation-Colis'!L14</f>
        <v>0</v>
      </c>
      <c r="S21" s="409"/>
      <c r="T21" s="428">
        <f>'AYIS-Reservation-Colis'!M14</f>
        <v>0</v>
      </c>
    </row>
    <row r="22" spans="1:20" ht="15">
      <c r="A22" s="221"/>
      <c r="B22" s="346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91"/>
      <c r="O22" s="224"/>
      <c r="P22" s="224"/>
      <c r="Q22" s="224"/>
      <c r="R22" s="224"/>
      <c r="S22" s="224"/>
      <c r="T22" s="296"/>
    </row>
    <row r="23" spans="1:20" ht="15">
      <c r="A23" s="221"/>
      <c r="B23" s="346">
        <f>'AYIS-Reservation-Colis'!D15</f>
        <v>9</v>
      </c>
      <c r="C23" s="296"/>
      <c r="D23" s="424">
        <f>'AYIS-Reservation-Colis'!E15</f>
        <v>1</v>
      </c>
      <c r="E23" s="404"/>
      <c r="F23" s="431">
        <f>'AYIS-Reservation-Colis'!F15</f>
        <v>0</v>
      </c>
      <c r="G23" s="224"/>
      <c r="H23" s="427">
        <f>'AYIS-Reservation-Colis'!G15</f>
        <v>0</v>
      </c>
      <c r="I23" s="224"/>
      <c r="J23" s="427">
        <f>'AYIS-Reservation-Colis'!H15</f>
        <v>0</v>
      </c>
      <c r="K23" s="224"/>
      <c r="L23" s="427">
        <f>'AYIS-Reservation-Colis'!I15</f>
        <v>0</v>
      </c>
      <c r="M23" s="224"/>
      <c r="N23" s="26">
        <f>D23*(H23*J23*L23)/1000000</f>
        <v>0</v>
      </c>
      <c r="O23" s="228"/>
      <c r="P23" s="26">
        <f>IF((N23*T_1)&gt;=R23,(N23*T_1),R23)</f>
        <v>0</v>
      </c>
      <c r="Q23" s="228"/>
      <c r="R23" s="427">
        <f>'AYIS-Reservation-Colis'!L15</f>
        <v>0</v>
      </c>
      <c r="S23" s="409"/>
      <c r="T23" s="155">
        <f>'AYIS-Reservation-Colis'!M15</f>
        <v>0</v>
      </c>
    </row>
    <row r="24" spans="1:20" ht="15">
      <c r="A24" s="221"/>
      <c r="B24" s="346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91"/>
      <c r="O24" s="224"/>
      <c r="P24" s="224"/>
      <c r="Q24" s="224"/>
      <c r="R24" s="224"/>
      <c r="S24" s="224"/>
      <c r="T24" s="296"/>
    </row>
    <row r="25" spans="1:20" ht="15">
      <c r="A25" s="221"/>
      <c r="B25" s="346">
        <f>'AYIS-Reservation-Colis'!D16</f>
        <v>10</v>
      </c>
      <c r="C25" s="296"/>
      <c r="D25" s="424">
        <f>'AYIS-Reservation-Colis'!E16</f>
        <v>1</v>
      </c>
      <c r="E25" s="404"/>
      <c r="F25" s="431">
        <f>'AYIS-Reservation-Colis'!F16</f>
        <v>0</v>
      </c>
      <c r="G25" s="224"/>
      <c r="H25" s="427">
        <f>'AYIS-Reservation-Colis'!G16</f>
        <v>0</v>
      </c>
      <c r="I25" s="224"/>
      <c r="J25" s="427">
        <f>'AYIS-Reservation-Colis'!H16</f>
        <v>0</v>
      </c>
      <c r="K25" s="224"/>
      <c r="L25" s="427">
        <f>'AYIS-Reservation-Colis'!I16</f>
        <v>0</v>
      </c>
      <c r="M25" s="224"/>
      <c r="N25" s="26">
        <f>D25*(H25*J25*L25)/1000000</f>
        <v>0</v>
      </c>
      <c r="O25" s="228"/>
      <c r="P25" s="26">
        <f>IF((N25*T_1)&gt;=R25,(N25*T_1),R25)</f>
        <v>0</v>
      </c>
      <c r="Q25" s="228"/>
      <c r="R25" s="427">
        <f>'AYIS-Reservation-Colis'!L16</f>
        <v>0</v>
      </c>
      <c r="S25" s="409"/>
      <c r="T25" s="428">
        <f>'AYIS-Reservation-Colis'!M16</f>
        <v>0</v>
      </c>
    </row>
    <row r="26" spans="1:20" ht="15">
      <c r="A26" s="221"/>
      <c r="B26" s="347"/>
      <c r="C26" s="297"/>
      <c r="D26" s="291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406"/>
    </row>
    <row r="27" spans="1:20" ht="15">
      <c r="A27" s="1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97"/>
      <c r="T27" s="1"/>
    </row>
    <row r="28" spans="1:20" s="144" customFormat="1" ht="15">
      <c r="A28" s="1"/>
      <c r="B28" s="298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435" t="s">
        <v>155</v>
      </c>
      <c r="O28" s="433"/>
      <c r="P28" s="434" t="s">
        <v>201</v>
      </c>
      <c r="Q28" s="433"/>
      <c r="R28" s="435" t="s">
        <v>157</v>
      </c>
      <c r="S28" s="433"/>
      <c r="T28" s="436" t="s">
        <v>156</v>
      </c>
    </row>
    <row r="29" spans="1:20" ht="15">
      <c r="A29" s="221"/>
      <c r="B29" s="432" t="s">
        <v>121</v>
      </c>
      <c r="C29" s="296"/>
      <c r="D29" s="2">
        <f>SUM(D7:D26)</f>
        <v>10</v>
      </c>
      <c r="E29" s="294"/>
      <c r="F29" s="294"/>
      <c r="G29" s="294"/>
      <c r="H29" s="294"/>
      <c r="I29" s="224"/>
      <c r="J29" s="294"/>
      <c r="K29" s="224"/>
      <c r="L29" s="294"/>
      <c r="M29" s="224"/>
      <c r="N29" s="157">
        <f>SUM(N7:N26)</f>
        <v>0</v>
      </c>
      <c r="O29" s="295"/>
      <c r="P29" s="158">
        <f>SUM(P7:P26)</f>
        <v>0</v>
      </c>
      <c r="Q29" s="295"/>
      <c r="R29" s="2">
        <f>SUM(R7:R26)</f>
        <v>0</v>
      </c>
      <c r="S29" s="224"/>
      <c r="T29" s="156">
        <f>SUM(T7:T25)</f>
        <v>0</v>
      </c>
    </row>
    <row r="30" spans="1:20" ht="15" customHeight="1">
      <c r="A30" s="221"/>
      <c r="B30" s="300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159">
        <f>T29*TAUXFCFA</f>
        <v>0</v>
      </c>
    </row>
    <row r="31" spans="1:20" ht="15">
      <c r="A31" s="221"/>
      <c r="B31" s="301"/>
      <c r="C31" s="302" t="s">
        <v>20</v>
      </c>
      <c r="D31" s="302"/>
      <c r="E31" s="302"/>
      <c r="F31" s="302"/>
      <c r="G31" s="302"/>
      <c r="H31" s="302"/>
      <c r="I31" s="302"/>
      <c r="J31" s="302"/>
      <c r="K31" s="302"/>
      <c r="L31" s="302"/>
      <c r="M31" s="224"/>
      <c r="N31" s="157">
        <f>SUM(N7:N26)</f>
        <v>0</v>
      </c>
      <c r="O31" s="229"/>
      <c r="P31" s="158">
        <f>SUM(P7:P26)</f>
        <v>0</v>
      </c>
      <c r="Q31" s="229"/>
      <c r="R31" s="2">
        <f>SUM(R7:R26)</f>
        <v>0</v>
      </c>
      <c r="S31" s="224"/>
      <c r="T31" s="282"/>
    </row>
    <row r="32" spans="1:20" ht="15">
      <c r="A32" s="221"/>
      <c r="B32" s="303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4"/>
      <c r="N32" s="224"/>
      <c r="O32" s="224"/>
      <c r="P32" s="224"/>
      <c r="Q32" s="224"/>
      <c r="R32" s="224"/>
      <c r="S32" s="224"/>
      <c r="T32" s="282"/>
    </row>
    <row r="33" spans="1:20" ht="15">
      <c r="A33" s="221"/>
      <c r="B33" s="301"/>
      <c r="C33" s="302"/>
      <c r="D33" s="302"/>
      <c r="E33" s="302"/>
      <c r="F33" s="302"/>
      <c r="G33" s="302"/>
      <c r="H33" s="302"/>
      <c r="I33" s="302"/>
      <c r="J33" s="302" t="s">
        <v>189</v>
      </c>
      <c r="K33" s="302"/>
      <c r="L33" s="302"/>
      <c r="M33" s="224"/>
      <c r="N33" s="1" t="s">
        <v>22</v>
      </c>
      <c r="O33" s="1"/>
      <c r="P33" s="160">
        <f>MAX(P31,R31)</f>
        <v>0</v>
      </c>
      <c r="Q33" s="1"/>
      <c r="R33" s="1"/>
      <c r="S33" s="1"/>
      <c r="T33" s="282"/>
    </row>
    <row r="34" spans="1:20" ht="15">
      <c r="A34" s="221"/>
      <c r="B34" s="304"/>
      <c r="C34" s="223"/>
      <c r="D34" s="302"/>
      <c r="E34" s="302"/>
      <c r="F34" s="302"/>
      <c r="G34" s="302"/>
      <c r="H34" s="302"/>
      <c r="I34" s="302"/>
      <c r="J34" s="228"/>
      <c r="K34" s="302"/>
      <c r="L34" s="302"/>
      <c r="M34" s="224"/>
      <c r="N34" s="1"/>
      <c r="O34" s="1"/>
      <c r="P34" s="160">
        <f>MAX(P33,25)</f>
        <v>25</v>
      </c>
      <c r="Q34" s="1"/>
      <c r="R34" s="1" t="s">
        <v>131</v>
      </c>
      <c r="S34" s="1"/>
      <c r="T34" s="282"/>
    </row>
    <row r="35" spans="1:20" ht="15">
      <c r="A35" s="230"/>
      <c r="B35" s="305">
        <f>IF(P33&lt;='Frais de Douane Colis'!D16,AYISTD1,IF(P33&lt;='Frais de Douane Colis'!D17,AYISTD2,IF(P33&lt;='Frais de Douane Colis'!D18,AYISTD3,IF(P33&gt;='Frais de Douane Colis'!C19,AYISTD4,AYISTD4))))</f>
        <v>1379.3103448275863</v>
      </c>
      <c r="C35" s="233"/>
      <c r="D35" s="306">
        <f>IF(P33&lt;='Frais de Douane Colis'!D24,AYISTD5,IF(P33&lt;='Frais de Douane Colis'!D25,AYISTD6,IF(P33&lt;='Frais de Douane Colis'!D26,AYISTD7,IF(P33&gt;='Frais de Douane Colis'!C27,AYISTD8,AYISTD8))))</f>
        <v>2068.9655172413795</v>
      </c>
      <c r="E35" s="233"/>
      <c r="F35" s="306">
        <f>IF(P33&lt;='Frais de Douane Colis'!D32,AYISTD9,IF(P33&lt;='Frais de Douane Colis'!D33,AYISTD10,IF(P33&lt;='Frais de Douane Colis'!D34,AYISTD11,IF(P33&gt;='Frais de Douane Colis'!C35,AYISTD12,AYISTD12))))</f>
        <v>1724.1379310344828</v>
      </c>
      <c r="G35" s="233"/>
      <c r="H35" s="233"/>
      <c r="I35" s="233"/>
      <c r="J35" s="233"/>
      <c r="K35" s="235"/>
      <c r="L35" s="233"/>
      <c r="M35" s="307"/>
      <c r="N35" s="233" t="s">
        <v>57</v>
      </c>
      <c r="O35" s="234"/>
      <c r="P35" s="235"/>
      <c r="Q35" s="234"/>
      <c r="R35" s="236"/>
      <c r="S35" s="236"/>
      <c r="T35" s="308"/>
    </row>
    <row r="36" spans="1:20" ht="15">
      <c r="A36" s="230"/>
      <c r="B36" s="309" t="s">
        <v>45</v>
      </c>
      <c r="C36" s="310"/>
      <c r="D36" s="310" t="s">
        <v>47</v>
      </c>
      <c r="E36" s="310"/>
      <c r="F36" s="310" t="s">
        <v>46</v>
      </c>
      <c r="G36" s="310"/>
      <c r="H36" s="310"/>
      <c r="I36" s="310"/>
      <c r="J36" s="310"/>
      <c r="K36" s="311"/>
      <c r="L36" s="310"/>
      <c r="M36" s="312"/>
      <c r="N36" s="313" t="s">
        <v>56</v>
      </c>
      <c r="O36" s="314"/>
      <c r="P36" s="314" t="str">
        <f>B36</f>
        <v>Usagé</v>
      </c>
      <c r="Q36" s="314"/>
      <c r="R36" s="315">
        <f>B35</f>
        <v>1379.3103448275863</v>
      </c>
      <c r="S36" s="315"/>
      <c r="T36" s="316"/>
    </row>
    <row r="37" spans="1:20" ht="15">
      <c r="A37" s="230"/>
      <c r="B37" s="231"/>
      <c r="C37" s="231"/>
      <c r="D37" s="231"/>
      <c r="E37" s="231"/>
      <c r="F37" s="231"/>
      <c r="G37" s="231"/>
      <c r="H37" s="231"/>
      <c r="I37" s="231"/>
      <c r="J37" s="231"/>
      <c r="K37" s="232"/>
      <c r="L37" s="231"/>
      <c r="M37" s="230"/>
      <c r="N37" s="237" t="s">
        <v>56</v>
      </c>
      <c r="O37" s="238"/>
      <c r="P37" s="238" t="str">
        <f>D36</f>
        <v>Nouveau</v>
      </c>
      <c r="Q37" s="238"/>
      <c r="R37" s="239">
        <f>D35</f>
        <v>2068.9655172413795</v>
      </c>
      <c r="S37" s="239"/>
      <c r="T37" s="230"/>
    </row>
    <row r="38" spans="1:20" ht="15">
      <c r="A38" s="230"/>
      <c r="B38" s="317" t="s">
        <v>23</v>
      </c>
      <c r="C38" s="318"/>
      <c r="D38" s="318"/>
      <c r="E38" s="318"/>
      <c r="F38" s="318"/>
      <c r="G38" s="318"/>
      <c r="H38" s="319">
        <f>IF(J46="Usagé",B35,IF(J46="Nouveau",D35,IF(J46="Mixte",F35)))</f>
        <v>2068.9655172413795</v>
      </c>
      <c r="I38" s="318"/>
      <c r="J38" s="318"/>
      <c r="K38" s="320"/>
      <c r="L38" s="318"/>
      <c r="M38" s="321"/>
      <c r="N38" s="322" t="s">
        <v>56</v>
      </c>
      <c r="O38" s="323"/>
      <c r="P38" s="323" t="str">
        <f>F36</f>
        <v>Mixte</v>
      </c>
      <c r="Q38" s="323"/>
      <c r="R38" s="324">
        <f>F35</f>
        <v>1724.1379310344828</v>
      </c>
      <c r="S38" s="324"/>
      <c r="T38" s="325"/>
    </row>
    <row r="39" spans="1:20" ht="15">
      <c r="A39" s="221"/>
      <c r="B39" s="303"/>
      <c r="C39" s="228"/>
      <c r="D39" s="335"/>
      <c r="E39" s="336"/>
      <c r="F39" s="336" t="s">
        <v>19</v>
      </c>
      <c r="G39" s="336"/>
      <c r="H39" s="336"/>
      <c r="I39" s="336"/>
      <c r="J39" s="336"/>
      <c r="K39" s="336"/>
      <c r="L39" s="336"/>
      <c r="M39" s="336"/>
      <c r="N39" s="336"/>
      <c r="O39" s="341"/>
      <c r="P39" s="340">
        <f>P34*T_2</f>
        <v>50</v>
      </c>
      <c r="Q39" s="226"/>
      <c r="R39" s="226"/>
      <c r="S39" s="226"/>
      <c r="T39" s="282"/>
    </row>
    <row r="40" spans="1:20" ht="15">
      <c r="A40" s="221"/>
      <c r="B40" s="334">
        <v>0</v>
      </c>
      <c r="C40" s="228"/>
      <c r="D40" s="328"/>
      <c r="E40" s="329"/>
      <c r="F40" s="329">
        <f>IF(B40=0%,"","Rabais pour spécial pour gros volume")</f>
      </c>
      <c r="G40" s="329"/>
      <c r="H40" s="329"/>
      <c r="I40" s="329"/>
      <c r="J40" s="329"/>
      <c r="K40" s="329"/>
      <c r="L40" s="329"/>
      <c r="M40" s="329"/>
      <c r="N40" s="329" t="s">
        <v>122</v>
      </c>
      <c r="O40" s="342"/>
      <c r="P40" s="339">
        <f>-(P39*B40)</f>
        <v>0</v>
      </c>
      <c r="Q40" s="253"/>
      <c r="R40" s="253"/>
      <c r="S40" s="253"/>
      <c r="T40" s="326"/>
    </row>
    <row r="41" spans="1:20" s="27" customFormat="1" ht="15" hidden="1">
      <c r="A41" s="221"/>
      <c r="B41" s="337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81"/>
      <c r="Q41" s="80"/>
      <c r="R41" s="80"/>
      <c r="S41" s="80"/>
      <c r="T41" s="327"/>
    </row>
    <row r="42" spans="1:20" ht="15">
      <c r="A42" s="440" t="s">
        <v>123</v>
      </c>
      <c r="B42" s="303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441" t="s">
        <v>190</v>
      </c>
      <c r="O42" s="338"/>
      <c r="P42" s="443">
        <f>P39+P40</f>
        <v>50</v>
      </c>
      <c r="Q42" s="373" t="s">
        <v>59</v>
      </c>
      <c r="R42" s="444">
        <f>P42*TAUXFCFA</f>
        <v>25000</v>
      </c>
      <c r="S42" s="154"/>
      <c r="T42" s="282"/>
    </row>
    <row r="43" spans="1:20" s="27" customFormat="1" ht="15">
      <c r="A43" s="240"/>
      <c r="B43" s="328"/>
      <c r="C43" s="329"/>
      <c r="D43" s="329"/>
      <c r="E43" s="329"/>
      <c r="F43" s="329"/>
      <c r="G43" s="329"/>
      <c r="H43" s="329"/>
      <c r="I43" s="329"/>
      <c r="J43" s="329"/>
      <c r="K43" s="329"/>
      <c r="L43" s="330"/>
      <c r="M43" s="297"/>
      <c r="N43" s="331"/>
      <c r="O43" s="331"/>
      <c r="P43" s="332"/>
      <c r="Q43" s="331"/>
      <c r="R43" s="333"/>
      <c r="S43" s="333"/>
      <c r="T43" s="285"/>
    </row>
    <row r="44" spans="1:20" s="144" customFormat="1" ht="15">
      <c r="A44" s="240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41"/>
      <c r="M44" s="242"/>
      <c r="N44" s="227"/>
      <c r="O44" s="221"/>
      <c r="P44" s="243"/>
      <c r="Q44" s="221"/>
      <c r="R44" s="244" t="s">
        <v>204</v>
      </c>
      <c r="S44" s="244"/>
      <c r="T44" s="220"/>
    </row>
    <row r="45" spans="1:20" ht="15.75" thickBot="1">
      <c r="A45" s="240"/>
      <c r="B45" s="500" t="str">
        <f>CONCATENATE("Calcul des frais  de douane et de port pour  votre colis de type ","[",'AYIS-Reservation-Colis'!H23,"]")</f>
        <v>Calcul des frais  de douane et de port pour  votre colis de type [Nouveau]</v>
      </c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224"/>
      <c r="R45" s="245" t="str">
        <f>CONCATENATE("valeur Colis ",": ",'AYIS-Reservation-Colis'!M17,"$")</f>
        <v>valeur Colis : 0$</v>
      </c>
      <c r="S45" s="245"/>
      <c r="T45" s="1"/>
    </row>
    <row r="46" spans="1:20" ht="15.75" thickBot="1">
      <c r="A46" s="240"/>
      <c r="B46" s="150" t="s">
        <v>151</v>
      </c>
      <c r="C46" s="151"/>
      <c r="D46" s="151"/>
      <c r="E46" s="152"/>
      <c r="F46" s="152"/>
      <c r="G46" s="152"/>
      <c r="H46" s="152"/>
      <c r="I46" s="153"/>
      <c r="J46" s="236" t="str">
        <f>'AYIS-Reservation-Colis'!H23</f>
        <v>Nouveau</v>
      </c>
      <c r="K46" s="228"/>
      <c r="L46" s="266"/>
      <c r="M46" s="224"/>
      <c r="N46" s="267"/>
      <c r="O46" s="224"/>
      <c r="P46" s="217"/>
      <c r="Q46" s="224"/>
      <c r="R46" s="423" t="str">
        <f>CONCATENATE("valeur Colis:  ",": ",'AYIS-Reservation-Colis'!M17*TAUXFCFA," F CFA")</f>
        <v>valeur Colis:  : 0 F CFA</v>
      </c>
      <c r="S46" s="268"/>
      <c r="T46" s="290" t="s">
        <v>38</v>
      </c>
    </row>
    <row r="47" spans="1:20" ht="15">
      <c r="A47" s="240"/>
      <c r="B47" s="480" t="str">
        <f>CONCATENATE("Le taux normal de  44,28%  d'une part  et la moyenne des taux: [44,28%], [22,14%]  et ")</f>
        <v>Le taux normal de  44,28%  d'une part  et la moyenne des taux: [44,28%], [22,14%]  et </v>
      </c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82"/>
      <c r="N47" s="493">
        <f>H38</f>
        <v>2068.9655172413795</v>
      </c>
      <c r="O47" s="494"/>
      <c r="P47" s="272">
        <f>IF('AYIS-Reservation-Colis'!M20=0,'AYIS-Cotation-Colis'!R48,MIN(R47,R50))</f>
        <v>51724.137931034486</v>
      </c>
      <c r="Q47" s="269"/>
      <c r="R47" s="411" t="str">
        <f>IF('AYIS-Reservation-Colis'!M20=0,"Valeur colis manquante",'AYIS-Reservation-Colis'!M20*TAUXFCFA*Taux44)</f>
        <v>Valeur colis manquante</v>
      </c>
      <c r="S47" s="412" t="s">
        <v>159</v>
      </c>
      <c r="T47" s="413">
        <f>Taux44</f>
        <v>0.4428</v>
      </c>
    </row>
    <row r="48" spans="1:20" ht="15">
      <c r="A48" s="240"/>
      <c r="B48" s="483" t="s">
        <v>130</v>
      </c>
      <c r="C48" s="484"/>
      <c r="D48" s="484"/>
      <c r="E48" s="484"/>
      <c r="F48" s="484"/>
      <c r="G48" s="484"/>
      <c r="H48" s="484"/>
      <c r="I48" s="484"/>
      <c r="J48" s="484"/>
      <c r="K48" s="484"/>
      <c r="L48" s="484"/>
      <c r="M48" s="172">
        <v>150</v>
      </c>
      <c r="N48" s="489" t="s">
        <v>21</v>
      </c>
      <c r="O48" s="490"/>
      <c r="P48" s="273">
        <f>M48*P34</f>
        <v>3750</v>
      </c>
      <c r="Q48" s="269"/>
      <c r="R48" s="414">
        <f>P34*N47</f>
        <v>51724.137931034486</v>
      </c>
      <c r="S48" s="415" t="s">
        <v>159</v>
      </c>
      <c r="T48" s="416" t="s">
        <v>152</v>
      </c>
    </row>
    <row r="49" spans="1:20" ht="15.75" thickBot="1">
      <c r="A49" s="240"/>
      <c r="B49" s="495" t="s">
        <v>125</v>
      </c>
      <c r="C49" s="496"/>
      <c r="D49" s="496"/>
      <c r="E49" s="496"/>
      <c r="F49" s="496"/>
      <c r="G49" s="496"/>
      <c r="H49" s="496"/>
      <c r="I49" s="496"/>
      <c r="J49" s="496"/>
      <c r="K49" s="496"/>
      <c r="L49" s="496"/>
      <c r="M49" s="274">
        <v>150</v>
      </c>
      <c r="N49" s="491"/>
      <c r="O49" s="492"/>
      <c r="P49" s="273">
        <f>P34*M49</f>
        <v>3750</v>
      </c>
      <c r="Q49" s="269"/>
      <c r="R49" s="417" t="str">
        <f>IF('AYIS-Reservation-Colis'!M20=0,"Valeur colis manquante",'AYIS-Reservation-Colis'!M20*TAUXFCFA*Taux22)</f>
        <v>Valeur colis manquante</v>
      </c>
      <c r="S49" s="418" t="s">
        <v>159</v>
      </c>
      <c r="T49" s="419">
        <f>Taux22</f>
        <v>0.2214</v>
      </c>
    </row>
    <row r="50" spans="1:20" s="142" customFormat="1" ht="15">
      <c r="A50" s="265"/>
      <c r="B50" s="241"/>
      <c r="C50" s="241"/>
      <c r="D50" s="499" t="str">
        <f>IF('AYIS-Reservation-Colis'!M20=0," SVP Saisissez la valeur du colis dans l'onglet [réservation-Colis] ","")</f>
        <v> SVP Saisissez la valeur du colis dans l'onglet [réservation-Colis] </v>
      </c>
      <c r="E50" s="499"/>
      <c r="F50" s="499"/>
      <c r="G50" s="499"/>
      <c r="H50" s="499"/>
      <c r="I50" s="499"/>
      <c r="J50" s="499"/>
      <c r="K50" s="499"/>
      <c r="L50" s="499"/>
      <c r="M50" s="270"/>
      <c r="N50" s="270"/>
      <c r="O50" s="270"/>
      <c r="P50" s="271">
        <f>SUM(P47:P49)</f>
        <v>59224.137931034486</v>
      </c>
      <c r="Q50" s="224"/>
      <c r="R50" s="372">
        <f>AVERAGE(R47:R49)</f>
        <v>51724.137931034486</v>
      </c>
      <c r="S50" s="275"/>
      <c r="T50" s="276" t="s">
        <v>150</v>
      </c>
    </row>
    <row r="51" spans="1:20" s="144" customFormat="1" ht="15" hidden="1">
      <c r="A51" s="265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3"/>
      <c r="N51" s="143"/>
      <c r="O51" s="143"/>
      <c r="P51" s="147"/>
      <c r="Q51" s="145"/>
      <c r="R51" s="148"/>
      <c r="S51" s="148"/>
      <c r="T51" s="149"/>
    </row>
    <row r="52" spans="1:20" s="27" customFormat="1" ht="15.75" thickBot="1">
      <c r="A52" s="240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46"/>
      <c r="Q52" s="224"/>
      <c r="R52" s="247"/>
      <c r="S52" s="247"/>
      <c r="T52" s="248"/>
    </row>
    <row r="53" spans="1:20" ht="15.75" thickBot="1">
      <c r="A53" s="440" t="s">
        <v>124</v>
      </c>
      <c r="B53" s="286"/>
      <c r="C53" s="287"/>
      <c r="D53" s="287"/>
      <c r="E53" s="254"/>
      <c r="F53" s="254"/>
      <c r="G53" s="254"/>
      <c r="H53" s="254"/>
      <c r="I53" s="254"/>
      <c r="J53" s="446"/>
      <c r="K53" s="254"/>
      <c r="L53" s="442" t="s">
        <v>214</v>
      </c>
      <c r="M53" s="254"/>
      <c r="N53" s="254"/>
      <c r="O53" s="292"/>
      <c r="P53" s="445">
        <f>SUM(P47:P49)</f>
        <v>59224.137931034486</v>
      </c>
      <c r="Q53" s="267" t="s">
        <v>59</v>
      </c>
      <c r="R53" s="161">
        <f>P53/TauxDollars</f>
        <v>131.60919540229887</v>
      </c>
      <c r="S53" s="243"/>
      <c r="T53" s="221"/>
    </row>
    <row r="54" spans="1:20" s="142" customFormat="1" ht="15.75" thickBot="1">
      <c r="A54" s="240"/>
      <c r="B54" s="255"/>
      <c r="C54" s="255"/>
      <c r="D54" s="255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21"/>
    </row>
    <row r="55" spans="1:20" ht="17.25" customHeight="1" thickBot="1">
      <c r="A55" s="440" t="s">
        <v>192</v>
      </c>
      <c r="B55" s="501" t="str">
        <f>P3</f>
        <v>Assurance refusé !</v>
      </c>
      <c r="C55" s="502"/>
      <c r="D55" s="502"/>
      <c r="E55" s="254"/>
      <c r="F55" s="288" t="s">
        <v>211</v>
      </c>
      <c r="G55" s="254"/>
      <c r="H55" s="68">
        <f>'AYIS-Reservation-Colis'!I21</f>
        <v>0</v>
      </c>
      <c r="I55" s="254"/>
      <c r="J55" s="254"/>
      <c r="K55" s="254"/>
      <c r="L55" s="288"/>
      <c r="M55" s="288"/>
      <c r="N55" s="289" t="s">
        <v>117</v>
      </c>
      <c r="O55" s="293"/>
      <c r="P55" s="445">
        <f>R55*TAUXFCFA</f>
        <v>0</v>
      </c>
      <c r="Q55" s="267" t="s">
        <v>59</v>
      </c>
      <c r="R55" s="161">
        <f>'AYIS-Reservation-Colis'!I22</f>
        <v>0</v>
      </c>
      <c r="S55" s="243"/>
      <c r="T55" s="221"/>
    </row>
    <row r="56" spans="1:20" s="27" customFormat="1" ht="15.75" thickBot="1">
      <c r="A56" s="221"/>
      <c r="B56" s="255"/>
      <c r="C56" s="255"/>
      <c r="D56" s="255"/>
      <c r="E56" s="242"/>
      <c r="F56" s="241"/>
      <c r="G56" s="224"/>
      <c r="H56" s="241"/>
      <c r="I56" s="224"/>
      <c r="J56" s="224"/>
      <c r="K56" s="224"/>
      <c r="L56" s="241"/>
      <c r="M56" s="241"/>
      <c r="N56" s="256"/>
      <c r="O56" s="241"/>
      <c r="P56" s="260"/>
      <c r="Q56" s="242"/>
      <c r="R56" s="260"/>
      <c r="S56" s="260"/>
      <c r="T56" s="221"/>
    </row>
    <row r="57" spans="1:20" ht="15.75" thickBot="1">
      <c r="A57" s="221"/>
      <c r="B57" s="257"/>
      <c r="C57" s="257"/>
      <c r="D57" s="257"/>
      <c r="E57" s="258"/>
      <c r="F57" s="258"/>
      <c r="G57" s="258"/>
      <c r="H57" s="258"/>
      <c r="I57" s="258"/>
      <c r="J57" s="258" t="s">
        <v>60</v>
      </c>
      <c r="K57" s="258"/>
      <c r="L57" s="258"/>
      <c r="M57" s="258"/>
      <c r="N57" s="258"/>
      <c r="O57" s="258"/>
      <c r="P57" s="161">
        <f>P42+R53+R55</f>
        <v>181.60919540229887</v>
      </c>
      <c r="Q57" s="267" t="s">
        <v>59</v>
      </c>
      <c r="R57" s="162">
        <f>R42+P53+P55</f>
        <v>84224.1379310345</v>
      </c>
      <c r="S57" s="261"/>
      <c r="T57" s="221"/>
    </row>
    <row r="58" spans="1:20" s="27" customFormat="1" ht="15">
      <c r="A58" s="221"/>
      <c r="B58" s="259"/>
      <c r="C58" s="259"/>
      <c r="D58" s="259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1"/>
    </row>
    <row r="59" spans="1:20" ht="15">
      <c r="A59" s="277"/>
      <c r="B59" s="278" t="s">
        <v>8</v>
      </c>
      <c r="C59" s="482" t="s">
        <v>158</v>
      </c>
      <c r="D59" s="482"/>
      <c r="E59" s="482"/>
      <c r="F59" s="482"/>
      <c r="G59" s="482"/>
      <c r="H59" s="482"/>
      <c r="I59" s="482"/>
      <c r="J59" s="482"/>
      <c r="K59" s="482"/>
      <c r="L59" s="482"/>
      <c r="M59" s="482"/>
      <c r="N59" s="482"/>
      <c r="O59" s="482"/>
      <c r="P59" s="482"/>
      <c r="Q59" s="482"/>
      <c r="R59" s="482"/>
      <c r="S59" s="279"/>
      <c r="T59" s="280"/>
    </row>
    <row r="60" spans="1:20" ht="15">
      <c r="A60" s="277"/>
      <c r="B60" s="281" t="s">
        <v>9</v>
      </c>
      <c r="C60" s="508" t="s">
        <v>54</v>
      </c>
      <c r="D60" s="508"/>
      <c r="E60" s="508"/>
      <c r="F60" s="508"/>
      <c r="G60" s="508"/>
      <c r="H60" s="508"/>
      <c r="I60" s="508"/>
      <c r="J60" s="508"/>
      <c r="K60" s="508"/>
      <c r="L60" s="508"/>
      <c r="M60" s="508"/>
      <c r="N60" s="508"/>
      <c r="O60" s="508"/>
      <c r="P60" s="508"/>
      <c r="Q60" s="508"/>
      <c r="R60" s="508"/>
      <c r="S60" s="245"/>
      <c r="T60" s="282"/>
    </row>
    <row r="61" spans="1:20" ht="15">
      <c r="A61" s="277"/>
      <c r="B61" s="281" t="s">
        <v>10</v>
      </c>
      <c r="C61" s="508" t="s">
        <v>58</v>
      </c>
      <c r="D61" s="508"/>
      <c r="E61" s="508"/>
      <c r="F61" s="508"/>
      <c r="G61" s="508"/>
      <c r="H61" s="508"/>
      <c r="I61" s="508"/>
      <c r="J61" s="508"/>
      <c r="K61" s="508"/>
      <c r="L61" s="508"/>
      <c r="M61" s="508"/>
      <c r="N61" s="508"/>
      <c r="O61" s="508"/>
      <c r="P61" s="508"/>
      <c r="Q61" s="508"/>
      <c r="R61" s="508"/>
      <c r="S61" s="245"/>
      <c r="T61" s="282"/>
    </row>
    <row r="62" spans="1:20" ht="15">
      <c r="A62" s="277"/>
      <c r="B62" s="281" t="s">
        <v>11</v>
      </c>
      <c r="C62" s="508" t="s">
        <v>40</v>
      </c>
      <c r="D62" s="508"/>
      <c r="E62" s="508"/>
      <c r="F62" s="508"/>
      <c r="G62" s="508"/>
      <c r="H62" s="508"/>
      <c r="I62" s="508"/>
      <c r="J62" s="508"/>
      <c r="K62" s="508"/>
      <c r="L62" s="508"/>
      <c r="M62" s="508"/>
      <c r="N62" s="508"/>
      <c r="O62" s="508"/>
      <c r="P62" s="508"/>
      <c r="Q62" s="508"/>
      <c r="R62" s="508"/>
      <c r="S62" s="245"/>
      <c r="T62" s="282"/>
    </row>
    <row r="63" spans="1:20" ht="47.25" customHeight="1">
      <c r="A63" s="277"/>
      <c r="B63" s="283" t="s">
        <v>12</v>
      </c>
      <c r="C63" s="506" t="s">
        <v>113</v>
      </c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N63" s="507"/>
      <c r="O63" s="507"/>
      <c r="P63" s="507"/>
      <c r="Q63" s="507"/>
      <c r="R63" s="507"/>
      <c r="S63" s="284"/>
      <c r="T63" s="285"/>
    </row>
    <row r="64" spans="1:20" ht="15">
      <c r="A64" s="221"/>
      <c r="B64" s="242"/>
      <c r="C64" s="262"/>
      <c r="D64" s="505" t="s">
        <v>24</v>
      </c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263"/>
      <c r="T64" s="221"/>
    </row>
    <row r="65" spans="1:20" ht="15">
      <c r="A65" s="221"/>
      <c r="B65" s="242"/>
      <c r="C65" s="242"/>
      <c r="D65" s="264"/>
      <c r="E65" s="264"/>
      <c r="F65" s="264"/>
      <c r="G65" s="264"/>
      <c r="H65" s="264"/>
      <c r="I65" s="263"/>
      <c r="J65" s="264"/>
      <c r="K65" s="264" t="s">
        <v>13</v>
      </c>
      <c r="L65" s="264"/>
      <c r="M65" s="264"/>
      <c r="N65" s="264"/>
      <c r="O65" s="264"/>
      <c r="P65" s="264"/>
      <c r="Q65" s="264"/>
      <c r="R65" s="264"/>
      <c r="S65" s="264"/>
      <c r="T65" s="221"/>
    </row>
  </sheetData>
  <sheetProtection password="9734" sheet="1" objects="1" scenarios="1"/>
  <mergeCells count="19">
    <mergeCell ref="D64:R64"/>
    <mergeCell ref="C63:R63"/>
    <mergeCell ref="C62:R62"/>
    <mergeCell ref="C60:R60"/>
    <mergeCell ref="C61:R61"/>
    <mergeCell ref="D1:R1"/>
    <mergeCell ref="B47:L47"/>
    <mergeCell ref="C59:R59"/>
    <mergeCell ref="B48:L48"/>
    <mergeCell ref="D2:N3"/>
    <mergeCell ref="N48:O48"/>
    <mergeCell ref="N49:O49"/>
    <mergeCell ref="N47:O47"/>
    <mergeCell ref="B49:L49"/>
    <mergeCell ref="P2:R2"/>
    <mergeCell ref="D50:L50"/>
    <mergeCell ref="B45:P45"/>
    <mergeCell ref="B55:D55"/>
    <mergeCell ref="P3:R3"/>
  </mergeCells>
  <conditionalFormatting sqref="D50:L50">
    <cfRule type="containsText" priority="2" dxfId="1" operator="containsText" text="SVP Saisissez la valeur du colis dans l'onglet [réservation-Colis]">
      <formula>NOT(ISERROR(SEARCH("SVP Saisissez la valeur du colis dans l'onglet [réservation-Colis]",D50)))</formula>
    </cfRule>
  </conditionalFormatting>
  <dataValidations count="1">
    <dataValidation type="list" allowBlank="1" showDropDown="1" showInputMessage="1" showErrorMessage="1" sqref="L46">
      <formula1>"Usagé, New, Mixte"</formula1>
    </dataValidation>
  </dataValidations>
  <hyperlinks>
    <hyperlink ref="D1" r:id="rId1" display="http://www.transit.ayis.ca"/>
    <hyperlink ref="D64" r:id="rId2" display="TRANSIT - AYIS"/>
  </hyperlinks>
  <printOptions/>
  <pageMargins left="0.7086614173228347" right="0.7086614173228347" top="0.41" bottom="0.7480314960629921" header="0.13" footer="0.4330708661417323"/>
  <pageSetup horizontalDpi="600" verticalDpi="600" orientation="portrait" scale="54" r:id="rId6"/>
  <drawing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B2:B9"/>
  <sheetViews>
    <sheetView zoomScalePageLayoutView="0" workbookViewId="0" topLeftCell="A1">
      <selection activeCell="C13" sqref="C13"/>
    </sheetView>
  </sheetViews>
  <sheetFormatPr defaultColWidth="11.421875" defaultRowHeight="15"/>
  <sheetData>
    <row r="2" ht="15">
      <c r="B2" t="s">
        <v>48</v>
      </c>
    </row>
    <row r="3" ht="15">
      <c r="B3" t="s">
        <v>49</v>
      </c>
    </row>
    <row r="4" ht="15">
      <c r="B4" t="s">
        <v>50</v>
      </c>
    </row>
    <row r="7" ht="15">
      <c r="B7" t="s">
        <v>51</v>
      </c>
    </row>
    <row r="8" ht="15">
      <c r="B8" t="s">
        <v>52</v>
      </c>
    </row>
    <row r="9" ht="15">
      <c r="B9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3"/>
    </sheetView>
  </sheetViews>
  <sheetFormatPr defaultColWidth="11.421875" defaultRowHeight="15"/>
  <cols>
    <col min="3" max="3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Samassi Issiaka</dc:creator>
  <cp:keywords/>
  <dc:description/>
  <cp:lastModifiedBy>Samassi Issiaka</cp:lastModifiedBy>
  <cp:lastPrinted>2015-10-21T18:00:43Z</cp:lastPrinted>
  <dcterms:created xsi:type="dcterms:W3CDTF">2012-12-31T21:34:49Z</dcterms:created>
  <dcterms:modified xsi:type="dcterms:W3CDTF">2015-12-12T16:44:21Z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